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ttps://d.docs.live.net/de6518bf2f86eca1/PUBLIC/CASH FLOWS/"/>
    </mc:Choice>
  </mc:AlternateContent>
  <xr:revisionPtr revIDLastSave="0" documentId="8_{A95A590F-23BA-41AF-9326-D8CAB9FC8B48}" xr6:coauthVersionLast="43" xr6:coauthVersionMax="43" xr10:uidLastSave="{00000000-0000-0000-0000-000000000000}"/>
  <bookViews>
    <workbookView xWindow="-120" yWindow="-120" windowWidth="29040" windowHeight="15840" xr2:uid="{00000000-000D-0000-FFFF-FFFF00000000}"/>
  </bookViews>
  <sheets>
    <sheet name="1-Overview" sheetId="5" r:id="rId1"/>
    <sheet name="2-Data Input &amp; Assumptions" sheetId="3" r:id="rId2"/>
    <sheet name="3-Cash Flow Chart" sheetId="2" r:id="rId3"/>
    <sheet name="4-Forecast Indicators" sheetId="4" r:id="rId4"/>
    <sheet name="5-FY Table" sheetId="6" state="hidden" r:id="rId5"/>
  </sheets>
  <externalReferences>
    <externalReference r:id="rId6"/>
  </externalReferences>
  <definedNames>
    <definedName name="baseexp1">OFFSET('[1]5-Sensitivity Analysis'!$E$85,0,0,1,yearend)</definedName>
    <definedName name="baserev1">OFFSET('[1]5-Sensitivity Analysis'!$E$83,0,0,1,yearend)</definedName>
    <definedName name="carryover">OFFSET('[1]5-Sensitivity Analysis'!$E$89,0,0,1,yearend)</definedName>
    <definedName name="charteightvar1">OFFSET('[1]2-Chart Gallery'!$D$179,0,0,1,years)</definedName>
    <definedName name="charteightvar2">OFFSET('[1]2-Chart Gallery'!$D$180,0,0,1,years)</definedName>
    <definedName name="chartfivevar1">OFFSET('[1]2-Chart Gallery'!$D$146,0,0,1,years)</definedName>
    <definedName name="chartfivevar2">OFFSET('[1]2-Chart Gallery'!$D$147,0,0,1,years)</definedName>
    <definedName name="chartfourvar1">OFFSET('[1]2-Chart Gallery'!$D$135,0,0,1,years)</definedName>
    <definedName name="chartfourvar2">OFFSET('[1]2-Chart Gallery'!$D$136,0,0,1,years)</definedName>
    <definedName name="chartonevar1">OFFSET('[1]2-Chart Gallery'!$D$99,0,0,1,years)</definedName>
    <definedName name="chartonevar2">OFFSET('[1]2-Chart Gallery'!$D$100,0,0,1,years)</definedName>
    <definedName name="chartonevar3">OFFSET('[1]2-Chart Gallery'!#REF!,0,0,1,years)</definedName>
    <definedName name="chartonevar4">OFFSET('[1]2-Chart Gallery'!#REF!,0,0,1,years)</definedName>
    <definedName name="chartonevar5">OFFSET('[1]2-Chart Gallery'!#REF!,0,0,1,years)</definedName>
    <definedName name="chartonevar6">OFFSET('[1]2-Chart Gallery'!#REF!,0,0,1,years)</definedName>
    <definedName name="chartsevenvar1">OFFSET('[1]2-Chart Gallery'!$D$168,0,0,1,years)</definedName>
    <definedName name="chartsevenvar2">OFFSET('[1]2-Chart Gallery'!$D$169,0,0,1,years)</definedName>
    <definedName name="chartsixvar1">OFFSET('[1]2-Chart Gallery'!$D$157,0,0,1,years)</definedName>
    <definedName name="chartsixvar2">OFFSET('[1]2-Chart Gallery'!$D$158,0,0,1,years)</definedName>
    <definedName name="chartthreevar1">OFFSET('[1]2-Chart Gallery'!$D$124,0,0,1,years)</definedName>
    <definedName name="chartthreevar2">OFFSET('[1]2-Chart Gallery'!$D$125,0,0,1,years)</definedName>
    <definedName name="charttwovar1">OFFSET('[1]2-Chart Gallery'!$D$113,0,0,1,years)</definedName>
    <definedName name="charttwovar2">OFFSET('[1]2-Chart Gallery'!$D$114,0,0,1,years)</definedName>
    <definedName name="charttwovar3">OFFSET('[1]2-Chart Gallery'!#REF!,0,0,1,years)</definedName>
    <definedName name="charttwovar4">OFFSET('[1]2-Chart Gallery'!#REF!,0,0,1,years)</definedName>
    <definedName name="charttwovar5">OFFSET('[1]2-Chart Gallery'!#REF!,0,0,1,years)</definedName>
    <definedName name="charttwovar6">OFFSET('[1]2-Chart Gallery'!#REF!,0,0,1,years)</definedName>
    <definedName name="deptchartchained">OFFSET('[1]10-Trend Analysis-Dept'!$D$66,0,0,1,deptyears)</definedName>
    <definedName name="deptchartnominal">OFFSET('[1]10-Trend Analysis-Dept'!$D$65,0,0,1,deptyears)</definedName>
    <definedName name="deptchartpc1">OFFSET('[1]10-Trend Analysis-Dept'!$D$72,0,0,1,deptyears)</definedName>
    <definedName name="deptchartpc2">OFFSET('[1]10-Trend Analysis-Dept'!$D$73,0,0,1,deptyears)</definedName>
    <definedName name="deptcharttwovar1">OFFSET('[1]10-Trend Analysis-Dept'!$D$69,0,0,1,deptyears)</definedName>
    <definedName name="deptchartvar1">OFFSET('[1]10-Trend Analysis-Dept'!$D$61,0,0,1,deptyears)</definedName>
    <definedName name="deptchartvar2">OFFSET('[1]10-Trend Analysis-Dept'!$D$62,0,0,1,deptyears)</definedName>
    <definedName name="exps1">OFFSET('[1]5-Sensitivity Analysis'!$E$86,0,0,1,yearend)</definedName>
    <definedName name="fbapct">OFFSET('[1]5-Sensitivity Analysis'!$E$106,0,0,1,yearend)</definedName>
    <definedName name="NEGATIVE">OFFSET('[1]5-Sensitivity Analysis'!$E$105,0,0,1,yearend)</definedName>
    <definedName name="POSITIVE">OFFSET('[1]5-Sensitivity Analysis'!$E$104,0,0,1,yearend)</definedName>
    <definedName name="_xlnm.Print_Area" localSheetId="0">'1-Overview'!$B$1:$B$28</definedName>
    <definedName name="_xlnm.Print_Titles" localSheetId="1">'2-Data Input &amp; Assumptions'!$1:$3</definedName>
    <definedName name="revs1">OFFSET('[1]5-Sensitivity Analysis'!$E$84,0,0,1,yearend)</definedName>
    <definedName name="shortfall">OFFSET('[1]5-Sensitivity Analysis'!$E$90,0,0,1,yearend)</definedName>
    <definedName name="trendchartchained">OFFSET('[1]9-Trend Analysis-Acct Type'!$D$65,0,0,1,trendyears)</definedName>
    <definedName name="trendchartnominal">OFFSET('[1]9-Trend Analysis-Acct Type'!$D$64,0,0,1,trendyears)</definedName>
    <definedName name="trendchartpc1">OFFSET('[1]9-Trend Analysis-Acct Type'!$D$71,0,0,1,trendyears)</definedName>
    <definedName name="trendchartpc2">OFFSET('[1]9-Trend Analysis-Acct Type'!$D$72,0,0,1,trendyears)</definedName>
    <definedName name="trendcharttwovar1">OFFSET('[1]9-Trend Analysis-Acct Type'!$D$68,0,0,1,trendyears)</definedName>
    <definedName name="trendchartvar1">OFFSET('[1]9-Trend Analysis-Acct Type'!$D$61,0,0,1,trendyears)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3" l="1"/>
  <c r="B15" i="3"/>
  <c r="A2" i="2" l="1"/>
  <c r="N52" i="3"/>
  <c r="N6" i="3" s="1"/>
  <c r="M52" i="3"/>
  <c r="M6" i="3" s="1"/>
  <c r="L52" i="3"/>
  <c r="L6" i="3" s="1"/>
  <c r="K52" i="3"/>
  <c r="K29" i="3" s="1"/>
  <c r="J52" i="3"/>
  <c r="J29" i="3" s="1"/>
  <c r="I52" i="3"/>
  <c r="I6" i="3" s="1"/>
  <c r="H52" i="3"/>
  <c r="H29" i="3" s="1"/>
  <c r="G52" i="3"/>
  <c r="G29" i="3" s="1"/>
  <c r="F52" i="3"/>
  <c r="F6" i="3" s="1"/>
  <c r="E52" i="3"/>
  <c r="E6" i="3" s="1"/>
  <c r="D52" i="3"/>
  <c r="D6" i="3" s="1"/>
  <c r="C52" i="3"/>
  <c r="C29" i="3" s="1"/>
  <c r="B52" i="3"/>
  <c r="B6" i="3" s="1"/>
  <c r="M29" i="3" l="1"/>
  <c r="E29" i="3"/>
  <c r="I29" i="3"/>
  <c r="H6" i="3"/>
  <c r="B29" i="3"/>
  <c r="D29" i="3"/>
  <c r="L29" i="3"/>
  <c r="G6" i="3"/>
  <c r="F29" i="3"/>
  <c r="N29" i="3"/>
  <c r="J6" i="3"/>
  <c r="C6" i="3"/>
  <c r="K6" i="3"/>
  <c r="D57" i="2"/>
  <c r="D56" i="2"/>
  <c r="D49" i="2"/>
  <c r="D48" i="2"/>
  <c r="B38" i="3"/>
  <c r="I61" i="3" s="1"/>
  <c r="A38" i="3"/>
  <c r="B47" i="3"/>
  <c r="K70" i="3" s="1"/>
  <c r="A47" i="3"/>
  <c r="A61" i="3"/>
  <c r="D70" i="3"/>
  <c r="A70" i="3"/>
  <c r="F61" i="3" l="1"/>
  <c r="F84" i="3" s="1"/>
  <c r="H49" i="2" s="1"/>
  <c r="T49" i="2" s="1"/>
  <c r="J61" i="3"/>
  <c r="J84" i="3" s="1"/>
  <c r="L49" i="2" s="1"/>
  <c r="X49" i="2" s="1"/>
  <c r="C61" i="3"/>
  <c r="C84" i="3" s="1"/>
  <c r="E49" i="2" s="1"/>
  <c r="Q49" i="2" s="1"/>
  <c r="D61" i="3"/>
  <c r="D84" i="3" s="1"/>
  <c r="F49" i="2" s="1"/>
  <c r="R49" i="2" s="1"/>
  <c r="L61" i="3"/>
  <c r="L84" i="3" s="1"/>
  <c r="N49" i="2" s="1"/>
  <c r="Z49" i="2" s="1"/>
  <c r="M61" i="3"/>
  <c r="M84" i="3" s="1"/>
  <c r="O49" i="2" s="1"/>
  <c r="AA49" i="2" s="1"/>
  <c r="N61" i="3"/>
  <c r="N84" i="3" s="1"/>
  <c r="P49" i="2" s="1"/>
  <c r="AB49" i="2" s="1"/>
  <c r="G61" i="3"/>
  <c r="G84" i="3" s="1"/>
  <c r="I49" i="2" s="1"/>
  <c r="U49" i="2" s="1"/>
  <c r="H61" i="3"/>
  <c r="H84" i="3" s="1"/>
  <c r="J49" i="2" s="1"/>
  <c r="V49" i="2" s="1"/>
  <c r="K61" i="3"/>
  <c r="K84" i="3" s="1"/>
  <c r="M49" i="2" s="1"/>
  <c r="Y49" i="2" s="1"/>
  <c r="E61" i="3"/>
  <c r="E84" i="3" s="1"/>
  <c r="G49" i="2" s="1"/>
  <c r="S49" i="2" s="1"/>
  <c r="L70" i="3"/>
  <c r="F70" i="3"/>
  <c r="F93" i="3" s="1"/>
  <c r="H57" i="2" s="1"/>
  <c r="T57" i="2" s="1"/>
  <c r="N70" i="3"/>
  <c r="N93" i="3" s="1"/>
  <c r="P57" i="2" s="1"/>
  <c r="AB57" i="2" s="1"/>
  <c r="E70" i="3"/>
  <c r="E93" i="3" s="1"/>
  <c r="G57" i="2" s="1"/>
  <c r="S57" i="2" s="1"/>
  <c r="M70" i="3"/>
  <c r="M93" i="3" s="1"/>
  <c r="O57" i="2" s="1"/>
  <c r="AA57" i="2" s="1"/>
  <c r="G70" i="3"/>
  <c r="G93" i="3" s="1"/>
  <c r="I57" i="2" s="1"/>
  <c r="U57" i="2" s="1"/>
  <c r="H70" i="3"/>
  <c r="I70" i="3"/>
  <c r="I93" i="3" s="1"/>
  <c r="K57" i="2" s="1"/>
  <c r="W57" i="2" s="1"/>
  <c r="J70" i="3"/>
  <c r="J93" i="3" s="1"/>
  <c r="L57" i="2" s="1"/>
  <c r="X57" i="2" s="1"/>
  <c r="C70" i="3"/>
  <c r="C93" i="3" s="1"/>
  <c r="E57" i="2" s="1"/>
  <c r="Q57" i="2" s="1"/>
  <c r="C116" i="3"/>
  <c r="B116" i="3"/>
  <c r="A116" i="3"/>
  <c r="C107" i="3"/>
  <c r="B107" i="3"/>
  <c r="A107" i="3"/>
  <c r="L93" i="3"/>
  <c r="N57" i="2" s="1"/>
  <c r="Z57" i="2" s="1"/>
  <c r="K93" i="3"/>
  <c r="M57" i="2" s="1"/>
  <c r="Y57" i="2" s="1"/>
  <c r="H93" i="3"/>
  <c r="J57" i="2" s="1"/>
  <c r="V57" i="2" s="1"/>
  <c r="D93" i="3"/>
  <c r="F57" i="2" s="1"/>
  <c r="R57" i="2" s="1"/>
  <c r="A93" i="3"/>
  <c r="I84" i="3"/>
  <c r="K49" i="2" s="1"/>
  <c r="W49" i="2" s="1"/>
  <c r="A84" i="3"/>
  <c r="A115" i="3"/>
  <c r="A106" i="3"/>
  <c r="A92" i="3"/>
  <c r="A83" i="3"/>
  <c r="A69" i="3"/>
  <c r="A60" i="3"/>
  <c r="B46" i="3"/>
  <c r="B115" i="3" s="1"/>
  <c r="A46" i="3"/>
  <c r="B37" i="3"/>
  <c r="K60" i="3" s="1"/>
  <c r="K83" i="3" s="1"/>
  <c r="M48" i="2" s="1"/>
  <c r="Y48" i="2" s="1"/>
  <c r="A37" i="3"/>
  <c r="B23" i="3"/>
  <c r="B14" i="3"/>
  <c r="C106" i="3" s="1"/>
  <c r="E60" i="3" l="1"/>
  <c r="E83" i="3" s="1"/>
  <c r="G48" i="2" s="1"/>
  <c r="S48" i="2" s="1"/>
  <c r="J60" i="3"/>
  <c r="J83" i="3" s="1"/>
  <c r="L48" i="2" s="1"/>
  <c r="X48" i="2" s="1"/>
  <c r="H69" i="3"/>
  <c r="H92" i="3" s="1"/>
  <c r="J56" i="2" s="1"/>
  <c r="V56" i="2" s="1"/>
  <c r="F60" i="3"/>
  <c r="F83" i="3" s="1"/>
  <c r="H48" i="2" s="1"/>
  <c r="T48" i="2" s="1"/>
  <c r="N69" i="3"/>
  <c r="N92" i="3" s="1"/>
  <c r="P56" i="2" s="1"/>
  <c r="AB56" i="2" s="1"/>
  <c r="M60" i="3"/>
  <c r="M83" i="3" s="1"/>
  <c r="O48" i="2" s="1"/>
  <c r="AA48" i="2" s="1"/>
  <c r="N60" i="3"/>
  <c r="N83" i="3" s="1"/>
  <c r="P48" i="2" s="1"/>
  <c r="AB48" i="2" s="1"/>
  <c r="E69" i="3"/>
  <c r="E92" i="3" s="1"/>
  <c r="C60" i="3"/>
  <c r="C83" i="3" s="1"/>
  <c r="E48" i="2" s="1"/>
  <c r="Q48" i="2" s="1"/>
  <c r="F69" i="3"/>
  <c r="F92" i="3" s="1"/>
  <c r="H56" i="2" s="1"/>
  <c r="T56" i="2" s="1"/>
  <c r="D60" i="3"/>
  <c r="D83" i="3" s="1"/>
  <c r="F48" i="2" s="1"/>
  <c r="R48" i="2" s="1"/>
  <c r="L60" i="3"/>
  <c r="L83" i="3" s="1"/>
  <c r="N48" i="2" s="1"/>
  <c r="Z48" i="2" s="1"/>
  <c r="G69" i="3"/>
  <c r="G92" i="3" s="1"/>
  <c r="I56" i="2" s="1"/>
  <c r="U56" i="2" s="1"/>
  <c r="C115" i="3"/>
  <c r="J69" i="3"/>
  <c r="J92" i="3" s="1"/>
  <c r="L56" i="2" s="1"/>
  <c r="X56" i="2" s="1"/>
  <c r="B106" i="3"/>
  <c r="G60" i="3"/>
  <c r="G83" i="3" s="1"/>
  <c r="I48" i="2" s="1"/>
  <c r="U48" i="2" s="1"/>
  <c r="H60" i="3"/>
  <c r="H83" i="3" s="1"/>
  <c r="J48" i="2" s="1"/>
  <c r="V48" i="2" s="1"/>
  <c r="C69" i="3"/>
  <c r="C92" i="3" s="1"/>
  <c r="E56" i="2" s="1"/>
  <c r="Q56" i="2" s="1"/>
  <c r="K69" i="3"/>
  <c r="K92" i="3" s="1"/>
  <c r="M56" i="2" s="1"/>
  <c r="Y56" i="2" s="1"/>
  <c r="I69" i="3"/>
  <c r="I92" i="3" s="1"/>
  <c r="K56" i="2" s="1"/>
  <c r="W56" i="2" s="1"/>
  <c r="I60" i="3"/>
  <c r="I83" i="3" s="1"/>
  <c r="K48" i="2" s="1"/>
  <c r="W48" i="2" s="1"/>
  <c r="D69" i="3"/>
  <c r="D92" i="3" s="1"/>
  <c r="F56" i="2" s="1"/>
  <c r="R56" i="2" s="1"/>
  <c r="L69" i="3"/>
  <c r="L92" i="3" s="1"/>
  <c r="N56" i="2" s="1"/>
  <c r="Z56" i="2" s="1"/>
  <c r="M69" i="3"/>
  <c r="M92" i="3" s="1"/>
  <c r="O56" i="2" s="1"/>
  <c r="AA56" i="2" s="1"/>
  <c r="B84" i="3"/>
  <c r="D107" i="3" s="1"/>
  <c r="E107" i="3" s="1"/>
  <c r="B93" i="3"/>
  <c r="D116" i="3" s="1"/>
  <c r="E116" i="3" s="1"/>
  <c r="D58" i="2"/>
  <c r="D55" i="2"/>
  <c r="D54" i="2"/>
  <c r="D53" i="2"/>
  <c r="D52" i="2"/>
  <c r="D50" i="2"/>
  <c r="D47" i="2"/>
  <c r="D46" i="2"/>
  <c r="D45" i="2"/>
  <c r="D44" i="2"/>
  <c r="D43" i="2"/>
  <c r="D42" i="2"/>
  <c r="A117" i="3"/>
  <c r="A114" i="3"/>
  <c r="A113" i="3"/>
  <c r="A112" i="3"/>
  <c r="A111" i="3"/>
  <c r="A108" i="3"/>
  <c r="A105" i="3"/>
  <c r="A104" i="3"/>
  <c r="A103" i="3"/>
  <c r="A102" i="3"/>
  <c r="A101" i="3"/>
  <c r="A100" i="3"/>
  <c r="A94" i="3"/>
  <c r="A91" i="3"/>
  <c r="A90" i="3"/>
  <c r="A89" i="3"/>
  <c r="A88" i="3"/>
  <c r="A85" i="3"/>
  <c r="A82" i="3"/>
  <c r="A81" i="3"/>
  <c r="A80" i="3"/>
  <c r="A79" i="3"/>
  <c r="A78" i="3"/>
  <c r="A77" i="3"/>
  <c r="A71" i="3"/>
  <c r="A68" i="3"/>
  <c r="A67" i="3"/>
  <c r="A66" i="3"/>
  <c r="A65" i="3"/>
  <c r="A62" i="3"/>
  <c r="A59" i="3"/>
  <c r="A58" i="3"/>
  <c r="A57" i="3"/>
  <c r="A56" i="3"/>
  <c r="A55" i="3"/>
  <c r="A54" i="3"/>
  <c r="A39" i="3"/>
  <c r="A36" i="3"/>
  <c r="A35" i="3"/>
  <c r="A34" i="3"/>
  <c r="A33" i="3"/>
  <c r="A32" i="3"/>
  <c r="A31" i="3"/>
  <c r="A48" i="3"/>
  <c r="A45" i="3"/>
  <c r="A44" i="3"/>
  <c r="A43" i="3"/>
  <c r="A42" i="3"/>
  <c r="B92" i="3" l="1"/>
  <c r="D115" i="3" s="1"/>
  <c r="E115" i="3" s="1"/>
  <c r="G56" i="2"/>
  <c r="S56" i="2" s="1"/>
  <c r="B83" i="3"/>
  <c r="D106" i="3" s="1"/>
  <c r="E106" i="3" s="1"/>
  <c r="B64" i="2" l="1"/>
  <c r="H75" i="3"/>
  <c r="G75" i="3"/>
  <c r="F75" i="3"/>
  <c r="E75" i="3"/>
  <c r="D75" i="3"/>
  <c r="C75" i="3"/>
  <c r="B72" i="3"/>
  <c r="N49" i="3"/>
  <c r="M49" i="3"/>
  <c r="L49" i="3"/>
  <c r="K49" i="3"/>
  <c r="J49" i="3"/>
  <c r="I49" i="3"/>
  <c r="H49" i="3"/>
  <c r="G49" i="3"/>
  <c r="F49" i="3"/>
  <c r="E49" i="3"/>
  <c r="D49" i="3"/>
  <c r="C49" i="3"/>
  <c r="N26" i="3"/>
  <c r="M26" i="3"/>
  <c r="L26" i="3"/>
  <c r="K26" i="3"/>
  <c r="J26" i="3"/>
  <c r="I26" i="3"/>
  <c r="H26" i="3"/>
  <c r="G26" i="3"/>
  <c r="F26" i="3"/>
  <c r="E26" i="3"/>
  <c r="D26" i="3"/>
  <c r="C26" i="3"/>
  <c r="B45" i="3"/>
  <c r="B114" i="3" s="1"/>
  <c r="B44" i="3"/>
  <c r="B113" i="3" s="1"/>
  <c r="B43" i="3"/>
  <c r="B112" i="3" s="1"/>
  <c r="B42" i="3"/>
  <c r="B111" i="3" s="1"/>
  <c r="B22" i="3"/>
  <c r="B21" i="3"/>
  <c r="B19" i="3"/>
  <c r="B36" i="3"/>
  <c r="B105" i="3" s="1"/>
  <c r="B34" i="3"/>
  <c r="B103" i="3" s="1"/>
  <c r="B33" i="3"/>
  <c r="B102" i="3" s="1"/>
  <c r="E40" i="3"/>
  <c r="B32" i="3"/>
  <c r="B101" i="3" s="1"/>
  <c r="I40" i="3"/>
  <c r="B31" i="3"/>
  <c r="B100" i="3" s="1"/>
  <c r="B13" i="3"/>
  <c r="B12" i="3"/>
  <c r="N17" i="3"/>
  <c r="K17" i="3"/>
  <c r="B11" i="3"/>
  <c r="I17" i="3"/>
  <c r="H17" i="3"/>
  <c r="B10" i="3"/>
  <c r="J17" i="3"/>
  <c r="F17" i="3"/>
  <c r="B63" i="3"/>
  <c r="N75" i="3"/>
  <c r="M75" i="3"/>
  <c r="L75" i="3"/>
  <c r="K75" i="3"/>
  <c r="J75" i="3"/>
  <c r="I75" i="3"/>
  <c r="B75" i="3"/>
  <c r="D98" i="3" s="1"/>
  <c r="B98" i="3"/>
  <c r="C98" i="3"/>
  <c r="B48" i="3"/>
  <c r="B117" i="3" s="1"/>
  <c r="B39" i="3"/>
  <c r="B108" i="3" s="1"/>
  <c r="B35" i="3"/>
  <c r="B104" i="3" s="1"/>
  <c r="B25" i="3"/>
  <c r="B16" i="3"/>
  <c r="N40" i="3"/>
  <c r="M40" i="3"/>
  <c r="L40" i="3"/>
  <c r="K40" i="3"/>
  <c r="J40" i="3"/>
  <c r="H40" i="3"/>
  <c r="F40" i="3"/>
  <c r="D40" i="3"/>
  <c r="M17" i="3"/>
  <c r="L17" i="3"/>
  <c r="E17" i="3"/>
  <c r="E41" i="2" l="1"/>
  <c r="Q41" i="2" s="1"/>
  <c r="F41" i="2"/>
  <c r="R41" i="2" s="1"/>
  <c r="G41" i="2"/>
  <c r="S41" i="2" s="1"/>
  <c r="L41" i="2"/>
  <c r="X41" i="2" s="1"/>
  <c r="M41" i="2"/>
  <c r="Y41" i="2" s="1"/>
  <c r="N41" i="2"/>
  <c r="Z41" i="2" s="1"/>
  <c r="H41" i="2"/>
  <c r="T41" i="2" s="1"/>
  <c r="K41" i="2"/>
  <c r="W41" i="2" s="1"/>
  <c r="O41" i="2"/>
  <c r="AA41" i="2" s="1"/>
  <c r="I41" i="2"/>
  <c r="U41" i="2" s="1"/>
  <c r="P41" i="2"/>
  <c r="AB41" i="2" s="1"/>
  <c r="J41" i="2"/>
  <c r="V41" i="2" s="1"/>
  <c r="N59" i="3"/>
  <c r="N82" i="3" s="1"/>
  <c r="P47" i="2" s="1"/>
  <c r="AB47" i="2" s="1"/>
  <c r="N57" i="3"/>
  <c r="N80" i="3" s="1"/>
  <c r="P45" i="2" s="1"/>
  <c r="AB45" i="2" s="1"/>
  <c r="N65" i="3"/>
  <c r="N88" i="3" s="1"/>
  <c r="P52" i="2" s="1"/>
  <c r="AB52" i="2" s="1"/>
  <c r="N71" i="3"/>
  <c r="N94" i="3" s="1"/>
  <c r="P58" i="2" s="1"/>
  <c r="AB58" i="2" s="1"/>
  <c r="J68" i="3"/>
  <c r="J91" i="3" s="1"/>
  <c r="L55" i="2" s="1"/>
  <c r="X55" i="2" s="1"/>
  <c r="B118" i="3"/>
  <c r="J56" i="3"/>
  <c r="J79" i="3" s="1"/>
  <c r="L44" i="2" s="1"/>
  <c r="X44" i="2" s="1"/>
  <c r="N67" i="3"/>
  <c r="N90" i="3" s="1"/>
  <c r="P54" i="2" s="1"/>
  <c r="AB54" i="2" s="1"/>
  <c r="J62" i="3"/>
  <c r="J85" i="3" s="1"/>
  <c r="L50" i="2" s="1"/>
  <c r="X50" i="2" s="1"/>
  <c r="J58" i="3"/>
  <c r="J81" i="3" s="1"/>
  <c r="L46" i="2" s="1"/>
  <c r="X46" i="2" s="1"/>
  <c r="G67" i="3"/>
  <c r="G90" i="3" s="1"/>
  <c r="I54" i="2" s="1"/>
  <c r="U54" i="2" s="1"/>
  <c r="G71" i="3"/>
  <c r="G94" i="3" s="1"/>
  <c r="I58" i="2" s="1"/>
  <c r="U58" i="2" s="1"/>
  <c r="C113" i="3"/>
  <c r="C117" i="3"/>
  <c r="K68" i="3"/>
  <c r="K91" i="3" s="1"/>
  <c r="M55" i="2" s="1"/>
  <c r="Y55" i="2" s="1"/>
  <c r="C114" i="3"/>
  <c r="G65" i="3"/>
  <c r="G88" i="3" s="1"/>
  <c r="I52" i="2" s="1"/>
  <c r="U52" i="2" s="1"/>
  <c r="C103" i="3"/>
  <c r="C102" i="3"/>
  <c r="C56" i="3"/>
  <c r="C79" i="3" s="1"/>
  <c r="C104" i="3"/>
  <c r="C62" i="3"/>
  <c r="C85" i="3" s="1"/>
  <c r="K56" i="3"/>
  <c r="K79" i="3" s="1"/>
  <c r="M44" i="2" s="1"/>
  <c r="Y44" i="2" s="1"/>
  <c r="C105" i="3"/>
  <c r="C58" i="3"/>
  <c r="C81" i="3" s="1"/>
  <c r="C108" i="3"/>
  <c r="K58" i="3"/>
  <c r="K81" i="3" s="1"/>
  <c r="M46" i="2" s="1"/>
  <c r="Y46" i="2" s="1"/>
  <c r="G59" i="3"/>
  <c r="G82" i="3" s="1"/>
  <c r="I47" i="2" s="1"/>
  <c r="U47" i="2" s="1"/>
  <c r="G57" i="3"/>
  <c r="G80" i="3" s="1"/>
  <c r="I45" i="2" s="1"/>
  <c r="U45" i="2" s="1"/>
  <c r="C111" i="3"/>
  <c r="B109" i="3"/>
  <c r="D56" i="3"/>
  <c r="D79" i="3" s="1"/>
  <c r="F44" i="2" s="1"/>
  <c r="R44" i="2" s="1"/>
  <c r="L56" i="3"/>
  <c r="L79" i="3" s="1"/>
  <c r="N44" i="2" s="1"/>
  <c r="Z44" i="2" s="1"/>
  <c r="H57" i="3"/>
  <c r="H80" i="3" s="1"/>
  <c r="J45" i="2" s="1"/>
  <c r="V45" i="2" s="1"/>
  <c r="D58" i="3"/>
  <c r="D81" i="3" s="1"/>
  <c r="F46" i="2" s="1"/>
  <c r="R46" i="2" s="1"/>
  <c r="L58" i="3"/>
  <c r="L81" i="3" s="1"/>
  <c r="N46" i="2" s="1"/>
  <c r="Z46" i="2" s="1"/>
  <c r="H59" i="3"/>
  <c r="H82" i="3" s="1"/>
  <c r="J47" i="2" s="1"/>
  <c r="V47" i="2" s="1"/>
  <c r="D62" i="3"/>
  <c r="D85" i="3" s="1"/>
  <c r="F50" i="2" s="1"/>
  <c r="R50" i="2" s="1"/>
  <c r="L62" i="3"/>
  <c r="L85" i="3" s="1"/>
  <c r="N50" i="2" s="1"/>
  <c r="Z50" i="2" s="1"/>
  <c r="H65" i="3"/>
  <c r="H88" i="3" s="1"/>
  <c r="H67" i="3"/>
  <c r="H90" i="3" s="1"/>
  <c r="J54" i="2" s="1"/>
  <c r="V54" i="2" s="1"/>
  <c r="D68" i="3"/>
  <c r="D91" i="3" s="1"/>
  <c r="F55" i="2" s="1"/>
  <c r="R55" i="2" s="1"/>
  <c r="L68" i="3"/>
  <c r="L91" i="3" s="1"/>
  <c r="N55" i="2" s="1"/>
  <c r="Z55" i="2" s="1"/>
  <c r="H71" i="3"/>
  <c r="H94" i="3" s="1"/>
  <c r="J58" i="2" s="1"/>
  <c r="V58" i="2" s="1"/>
  <c r="C68" i="3"/>
  <c r="C91" i="3" s="1"/>
  <c r="E56" i="3"/>
  <c r="E79" i="3" s="1"/>
  <c r="G44" i="2" s="1"/>
  <c r="S44" i="2" s="1"/>
  <c r="M56" i="3"/>
  <c r="M79" i="3" s="1"/>
  <c r="O44" i="2" s="1"/>
  <c r="AA44" i="2" s="1"/>
  <c r="I57" i="3"/>
  <c r="I80" i="3" s="1"/>
  <c r="K45" i="2" s="1"/>
  <c r="W45" i="2" s="1"/>
  <c r="E58" i="3"/>
  <c r="E81" i="3" s="1"/>
  <c r="G46" i="2" s="1"/>
  <c r="S46" i="2" s="1"/>
  <c r="M58" i="3"/>
  <c r="M81" i="3" s="1"/>
  <c r="O46" i="2" s="1"/>
  <c r="AA46" i="2" s="1"/>
  <c r="I59" i="3"/>
  <c r="I82" i="3" s="1"/>
  <c r="K47" i="2" s="1"/>
  <c r="W47" i="2" s="1"/>
  <c r="E62" i="3"/>
  <c r="E85" i="3" s="1"/>
  <c r="G50" i="2" s="1"/>
  <c r="S50" i="2" s="1"/>
  <c r="M62" i="3"/>
  <c r="M85" i="3" s="1"/>
  <c r="O50" i="2" s="1"/>
  <c r="AA50" i="2" s="1"/>
  <c r="I65" i="3"/>
  <c r="I88" i="3" s="1"/>
  <c r="I67" i="3"/>
  <c r="I90" i="3" s="1"/>
  <c r="K54" i="2" s="1"/>
  <c r="W54" i="2" s="1"/>
  <c r="E68" i="3"/>
  <c r="E91" i="3" s="1"/>
  <c r="G55" i="2" s="1"/>
  <c r="S55" i="2" s="1"/>
  <c r="M68" i="3"/>
  <c r="M91" i="3" s="1"/>
  <c r="O55" i="2" s="1"/>
  <c r="AA55" i="2" s="1"/>
  <c r="I71" i="3"/>
  <c r="I94" i="3" s="1"/>
  <c r="K58" i="2" s="1"/>
  <c r="W58" i="2" s="1"/>
  <c r="K62" i="3"/>
  <c r="K85" i="3" s="1"/>
  <c r="M50" i="2" s="1"/>
  <c r="Y50" i="2" s="1"/>
  <c r="F56" i="3"/>
  <c r="F79" i="3" s="1"/>
  <c r="H44" i="2" s="1"/>
  <c r="T44" i="2" s="1"/>
  <c r="N56" i="3"/>
  <c r="N79" i="3" s="1"/>
  <c r="P44" i="2" s="1"/>
  <c r="AB44" i="2" s="1"/>
  <c r="J57" i="3"/>
  <c r="J80" i="3" s="1"/>
  <c r="L45" i="2" s="1"/>
  <c r="X45" i="2" s="1"/>
  <c r="F58" i="3"/>
  <c r="F81" i="3" s="1"/>
  <c r="H46" i="2" s="1"/>
  <c r="T46" i="2" s="1"/>
  <c r="N58" i="3"/>
  <c r="N81" i="3" s="1"/>
  <c r="P46" i="2" s="1"/>
  <c r="AB46" i="2" s="1"/>
  <c r="J59" i="3"/>
  <c r="J82" i="3" s="1"/>
  <c r="L47" i="2" s="1"/>
  <c r="X47" i="2" s="1"/>
  <c r="F62" i="3"/>
  <c r="F85" i="3" s="1"/>
  <c r="H50" i="2" s="1"/>
  <c r="T50" i="2" s="1"/>
  <c r="N62" i="3"/>
  <c r="N85" i="3" s="1"/>
  <c r="P50" i="2" s="1"/>
  <c r="AB50" i="2" s="1"/>
  <c r="J65" i="3"/>
  <c r="J88" i="3" s="1"/>
  <c r="J67" i="3"/>
  <c r="J90" i="3" s="1"/>
  <c r="L54" i="2" s="1"/>
  <c r="X54" i="2" s="1"/>
  <c r="F68" i="3"/>
  <c r="F91" i="3" s="1"/>
  <c r="H55" i="2" s="1"/>
  <c r="T55" i="2" s="1"/>
  <c r="N68" i="3"/>
  <c r="N91" i="3" s="1"/>
  <c r="P55" i="2" s="1"/>
  <c r="AB55" i="2" s="1"/>
  <c r="J71" i="3"/>
  <c r="J94" i="3" s="1"/>
  <c r="L58" i="2" s="1"/>
  <c r="X58" i="2" s="1"/>
  <c r="G56" i="3"/>
  <c r="G79" i="3" s="1"/>
  <c r="I44" i="2" s="1"/>
  <c r="U44" i="2" s="1"/>
  <c r="C57" i="3"/>
  <c r="C80" i="3" s="1"/>
  <c r="K57" i="3"/>
  <c r="K80" i="3" s="1"/>
  <c r="M45" i="2" s="1"/>
  <c r="Y45" i="2" s="1"/>
  <c r="G58" i="3"/>
  <c r="G81" i="3" s="1"/>
  <c r="I46" i="2" s="1"/>
  <c r="U46" i="2" s="1"/>
  <c r="C59" i="3"/>
  <c r="C82" i="3" s="1"/>
  <c r="K59" i="3"/>
  <c r="K82" i="3" s="1"/>
  <c r="M47" i="2" s="1"/>
  <c r="Y47" i="2" s="1"/>
  <c r="G62" i="3"/>
  <c r="G85" i="3" s="1"/>
  <c r="I50" i="2" s="1"/>
  <c r="U50" i="2" s="1"/>
  <c r="C65" i="3"/>
  <c r="C88" i="3" s="1"/>
  <c r="K65" i="3"/>
  <c r="K88" i="3" s="1"/>
  <c r="C67" i="3"/>
  <c r="C90" i="3" s="1"/>
  <c r="K67" i="3"/>
  <c r="K90" i="3" s="1"/>
  <c r="M54" i="2" s="1"/>
  <c r="Y54" i="2" s="1"/>
  <c r="G68" i="3"/>
  <c r="G91" i="3" s="1"/>
  <c r="I55" i="2" s="1"/>
  <c r="U55" i="2" s="1"/>
  <c r="C71" i="3"/>
  <c r="C94" i="3" s="1"/>
  <c r="K71" i="3"/>
  <c r="K94" i="3" s="1"/>
  <c r="M58" i="2" s="1"/>
  <c r="Y58" i="2" s="1"/>
  <c r="H56" i="3"/>
  <c r="H79" i="3" s="1"/>
  <c r="J44" i="2" s="1"/>
  <c r="V44" i="2" s="1"/>
  <c r="D57" i="3"/>
  <c r="D80" i="3" s="1"/>
  <c r="F45" i="2" s="1"/>
  <c r="R45" i="2" s="1"/>
  <c r="L57" i="3"/>
  <c r="L80" i="3" s="1"/>
  <c r="N45" i="2" s="1"/>
  <c r="Z45" i="2" s="1"/>
  <c r="H58" i="3"/>
  <c r="H81" i="3" s="1"/>
  <c r="J46" i="2" s="1"/>
  <c r="V46" i="2" s="1"/>
  <c r="D59" i="3"/>
  <c r="D82" i="3" s="1"/>
  <c r="F47" i="2" s="1"/>
  <c r="R47" i="2" s="1"/>
  <c r="L59" i="3"/>
  <c r="L82" i="3" s="1"/>
  <c r="N47" i="2" s="1"/>
  <c r="Z47" i="2" s="1"/>
  <c r="H62" i="3"/>
  <c r="H85" i="3" s="1"/>
  <c r="J50" i="2" s="1"/>
  <c r="V50" i="2" s="1"/>
  <c r="D65" i="3"/>
  <c r="D88" i="3" s="1"/>
  <c r="L65" i="3"/>
  <c r="L88" i="3" s="1"/>
  <c r="D67" i="3"/>
  <c r="D90" i="3" s="1"/>
  <c r="F54" i="2" s="1"/>
  <c r="R54" i="2" s="1"/>
  <c r="L67" i="3"/>
  <c r="L90" i="3" s="1"/>
  <c r="N54" i="2" s="1"/>
  <c r="Z54" i="2" s="1"/>
  <c r="H68" i="3"/>
  <c r="H91" i="3" s="1"/>
  <c r="J55" i="2" s="1"/>
  <c r="V55" i="2" s="1"/>
  <c r="D71" i="3"/>
  <c r="D94" i="3" s="1"/>
  <c r="F58" i="2" s="1"/>
  <c r="R58" i="2" s="1"/>
  <c r="L71" i="3"/>
  <c r="L94" i="3" s="1"/>
  <c r="N58" i="2" s="1"/>
  <c r="Z58" i="2" s="1"/>
  <c r="I56" i="3"/>
  <c r="I79" i="3" s="1"/>
  <c r="K44" i="2" s="1"/>
  <c r="W44" i="2" s="1"/>
  <c r="E57" i="3"/>
  <c r="E80" i="3" s="1"/>
  <c r="G45" i="2" s="1"/>
  <c r="S45" i="2" s="1"/>
  <c r="M57" i="3"/>
  <c r="M80" i="3" s="1"/>
  <c r="O45" i="2" s="1"/>
  <c r="AA45" i="2" s="1"/>
  <c r="I58" i="3"/>
  <c r="I81" i="3" s="1"/>
  <c r="K46" i="2" s="1"/>
  <c r="W46" i="2" s="1"/>
  <c r="E59" i="3"/>
  <c r="E82" i="3" s="1"/>
  <c r="G47" i="2" s="1"/>
  <c r="S47" i="2" s="1"/>
  <c r="M59" i="3"/>
  <c r="M82" i="3" s="1"/>
  <c r="O47" i="2" s="1"/>
  <c r="AA47" i="2" s="1"/>
  <c r="I62" i="3"/>
  <c r="I85" i="3" s="1"/>
  <c r="K50" i="2" s="1"/>
  <c r="W50" i="2" s="1"/>
  <c r="E65" i="3"/>
  <c r="E88" i="3" s="1"/>
  <c r="M65" i="3"/>
  <c r="M88" i="3" s="1"/>
  <c r="E67" i="3"/>
  <c r="E90" i="3" s="1"/>
  <c r="G54" i="2" s="1"/>
  <c r="S54" i="2" s="1"/>
  <c r="M67" i="3"/>
  <c r="M90" i="3" s="1"/>
  <c r="O54" i="2" s="1"/>
  <c r="AA54" i="2" s="1"/>
  <c r="I68" i="3"/>
  <c r="I91" i="3" s="1"/>
  <c r="K55" i="2" s="1"/>
  <c r="W55" i="2" s="1"/>
  <c r="E71" i="3"/>
  <c r="E94" i="3" s="1"/>
  <c r="G58" i="2" s="1"/>
  <c r="S58" i="2" s="1"/>
  <c r="M71" i="3"/>
  <c r="M94" i="3" s="1"/>
  <c r="O58" i="2" s="1"/>
  <c r="AA58" i="2" s="1"/>
  <c r="F57" i="3"/>
  <c r="F80" i="3" s="1"/>
  <c r="H45" i="2" s="1"/>
  <c r="T45" i="2" s="1"/>
  <c r="F59" i="3"/>
  <c r="F82" i="3" s="1"/>
  <c r="H47" i="2" s="1"/>
  <c r="T47" i="2" s="1"/>
  <c r="F65" i="3"/>
  <c r="F88" i="3" s="1"/>
  <c r="F67" i="3"/>
  <c r="F90" i="3" s="1"/>
  <c r="H54" i="2" s="1"/>
  <c r="T54" i="2" s="1"/>
  <c r="F71" i="3"/>
  <c r="F94" i="3" s="1"/>
  <c r="H58" i="2" s="1"/>
  <c r="T58" i="2" s="1"/>
  <c r="B49" i="3"/>
  <c r="D50" i="3"/>
  <c r="B73" i="3"/>
  <c r="M27" i="3"/>
  <c r="H50" i="3"/>
  <c r="J50" i="3"/>
  <c r="L50" i="3"/>
  <c r="N50" i="3"/>
  <c r="F50" i="3"/>
  <c r="K50" i="3"/>
  <c r="M50" i="3"/>
  <c r="E50" i="3"/>
  <c r="B20" i="3"/>
  <c r="C112" i="3" s="1"/>
  <c r="E27" i="3"/>
  <c r="I27" i="3"/>
  <c r="L27" i="3"/>
  <c r="N27" i="3"/>
  <c r="F27" i="3"/>
  <c r="J27" i="3"/>
  <c r="C40" i="3"/>
  <c r="G40" i="3"/>
  <c r="D17" i="3"/>
  <c r="D27" i="3" s="1"/>
  <c r="G17" i="3"/>
  <c r="B9" i="3"/>
  <c r="C101" i="3" s="1"/>
  <c r="C17" i="3"/>
  <c r="B8" i="3"/>
  <c r="C100" i="3" s="1"/>
  <c r="H27" i="3"/>
  <c r="B40" i="3"/>
  <c r="K27" i="3"/>
  <c r="I50" i="3"/>
  <c r="B119" i="3" l="1"/>
  <c r="C109" i="3"/>
  <c r="B94" i="3"/>
  <c r="D117" i="3" s="1"/>
  <c r="E117" i="3" s="1"/>
  <c r="E58" i="2"/>
  <c r="Q58" i="2" s="1"/>
  <c r="E55" i="2"/>
  <c r="Q55" i="2" s="1"/>
  <c r="B91" i="3"/>
  <c r="D114" i="3" s="1"/>
  <c r="E114" i="3" s="1"/>
  <c r="C118" i="3"/>
  <c r="B90" i="3"/>
  <c r="D113" i="3" s="1"/>
  <c r="E113" i="3" s="1"/>
  <c r="E54" i="2"/>
  <c r="Q54" i="2" s="1"/>
  <c r="B81" i="3"/>
  <c r="D104" i="3" s="1"/>
  <c r="E104" i="3" s="1"/>
  <c r="E46" i="2"/>
  <c r="Q46" i="2" s="1"/>
  <c r="E47" i="2"/>
  <c r="Q47" i="2" s="1"/>
  <c r="B82" i="3"/>
  <c r="D105" i="3" s="1"/>
  <c r="E105" i="3" s="1"/>
  <c r="B85" i="3"/>
  <c r="D108" i="3" s="1"/>
  <c r="E108" i="3" s="1"/>
  <c r="E50" i="2"/>
  <c r="Q50" i="2" s="1"/>
  <c r="B79" i="3"/>
  <c r="D102" i="3" s="1"/>
  <c r="E102" i="3" s="1"/>
  <c r="E44" i="2"/>
  <c r="Q44" i="2" s="1"/>
  <c r="B80" i="3"/>
  <c r="D103" i="3" s="1"/>
  <c r="E103" i="3" s="1"/>
  <c r="E45" i="2"/>
  <c r="Q45" i="2" s="1"/>
  <c r="M52" i="2"/>
  <c r="Y52" i="2" s="1"/>
  <c r="E52" i="2"/>
  <c r="Q52" i="2" s="1"/>
  <c r="B88" i="3"/>
  <c r="N52" i="2"/>
  <c r="Z52" i="2" s="1"/>
  <c r="F52" i="2"/>
  <c r="R52" i="2" s="1"/>
  <c r="K52" i="2"/>
  <c r="W52" i="2" s="1"/>
  <c r="J52" i="2"/>
  <c r="V52" i="2" s="1"/>
  <c r="H52" i="2"/>
  <c r="T52" i="2" s="1"/>
  <c r="O52" i="2"/>
  <c r="AA52" i="2" s="1"/>
  <c r="G52" i="2"/>
  <c r="S52" i="2" s="1"/>
  <c r="L52" i="2"/>
  <c r="X52" i="2" s="1"/>
  <c r="B26" i="3"/>
  <c r="J66" i="3"/>
  <c r="J89" i="3" s="1"/>
  <c r="L53" i="2" s="1"/>
  <c r="X53" i="2" s="1"/>
  <c r="I66" i="3"/>
  <c r="I89" i="3" s="1"/>
  <c r="K53" i="2" s="1"/>
  <c r="W53" i="2" s="1"/>
  <c r="H66" i="3"/>
  <c r="H89" i="3" s="1"/>
  <c r="J53" i="2" s="1"/>
  <c r="V53" i="2" s="1"/>
  <c r="C66" i="3"/>
  <c r="G66" i="3"/>
  <c r="K66" i="3"/>
  <c r="N66" i="3"/>
  <c r="F66" i="3"/>
  <c r="F89" i="3" s="1"/>
  <c r="H53" i="2" s="1"/>
  <c r="T53" i="2" s="1"/>
  <c r="M66" i="3"/>
  <c r="E66" i="3"/>
  <c r="L66" i="3"/>
  <c r="L89" i="3" s="1"/>
  <c r="N53" i="2" s="1"/>
  <c r="Z53" i="2" s="1"/>
  <c r="D66" i="3"/>
  <c r="D89" i="3" s="1"/>
  <c r="F53" i="2" s="1"/>
  <c r="R53" i="2" s="1"/>
  <c r="J54" i="3"/>
  <c r="J77" i="3" s="1"/>
  <c r="L42" i="2" s="1"/>
  <c r="X42" i="2" s="1"/>
  <c r="I54" i="3"/>
  <c r="I77" i="3" s="1"/>
  <c r="K42" i="2" s="1"/>
  <c r="W42" i="2" s="1"/>
  <c r="H54" i="3"/>
  <c r="H77" i="3" s="1"/>
  <c r="J42" i="2" s="1"/>
  <c r="V42" i="2" s="1"/>
  <c r="C54" i="3"/>
  <c r="C77" i="3" s="1"/>
  <c r="G54" i="3"/>
  <c r="G77" i="3" s="1"/>
  <c r="I42" i="2" s="1"/>
  <c r="U42" i="2" s="1"/>
  <c r="N54" i="3"/>
  <c r="N77" i="3" s="1"/>
  <c r="P42" i="2" s="1"/>
  <c r="AB42" i="2" s="1"/>
  <c r="F54" i="3"/>
  <c r="F77" i="3" s="1"/>
  <c r="H42" i="2" s="1"/>
  <c r="T42" i="2" s="1"/>
  <c r="M54" i="3"/>
  <c r="M77" i="3" s="1"/>
  <c r="O42" i="2" s="1"/>
  <c r="AA42" i="2" s="1"/>
  <c r="E54" i="3"/>
  <c r="E77" i="3" s="1"/>
  <c r="G42" i="2" s="1"/>
  <c r="S42" i="2" s="1"/>
  <c r="L54" i="3"/>
  <c r="L77" i="3" s="1"/>
  <c r="N42" i="2" s="1"/>
  <c r="Z42" i="2" s="1"/>
  <c r="D54" i="3"/>
  <c r="D77" i="3" s="1"/>
  <c r="F42" i="2" s="1"/>
  <c r="R42" i="2" s="1"/>
  <c r="K54" i="3"/>
  <c r="K77" i="3" s="1"/>
  <c r="M42" i="2" s="1"/>
  <c r="Y42" i="2" s="1"/>
  <c r="N55" i="3"/>
  <c r="N78" i="3" s="1"/>
  <c r="F55" i="3"/>
  <c r="F78" i="3" s="1"/>
  <c r="M55" i="3"/>
  <c r="M78" i="3" s="1"/>
  <c r="E55" i="3"/>
  <c r="E78" i="3" s="1"/>
  <c r="L55" i="3"/>
  <c r="L78" i="3" s="1"/>
  <c r="D55" i="3"/>
  <c r="D78" i="3" s="1"/>
  <c r="K55" i="3"/>
  <c r="C55" i="3"/>
  <c r="C78" i="3" s="1"/>
  <c r="J55" i="3"/>
  <c r="J78" i="3" s="1"/>
  <c r="G55" i="3"/>
  <c r="I55" i="3"/>
  <c r="I78" i="3" s="1"/>
  <c r="H55" i="3"/>
  <c r="H78" i="3" s="1"/>
  <c r="G50" i="3"/>
  <c r="C50" i="3"/>
  <c r="G27" i="3"/>
  <c r="C27" i="3"/>
  <c r="B17" i="3"/>
  <c r="B50" i="3"/>
  <c r="T59" i="2" l="1"/>
  <c r="V59" i="2"/>
  <c r="X59" i="2"/>
  <c r="AB51" i="2"/>
  <c r="W59" i="2"/>
  <c r="R59" i="2"/>
  <c r="Z59" i="2"/>
  <c r="B77" i="3"/>
  <c r="D100" i="3" s="1"/>
  <c r="E100" i="3" s="1"/>
  <c r="E42" i="2"/>
  <c r="Q42" i="2" s="1"/>
  <c r="C119" i="3"/>
  <c r="J72" i="3"/>
  <c r="I95" i="3"/>
  <c r="L63" i="3"/>
  <c r="E72" i="3"/>
  <c r="E89" i="3"/>
  <c r="D95" i="3"/>
  <c r="M72" i="3"/>
  <c r="M89" i="3"/>
  <c r="F95" i="3"/>
  <c r="C72" i="3"/>
  <c r="C89" i="3"/>
  <c r="I72" i="3"/>
  <c r="D72" i="3"/>
  <c r="F72" i="3"/>
  <c r="J95" i="3"/>
  <c r="H95" i="3"/>
  <c r="G72" i="3"/>
  <c r="G89" i="3"/>
  <c r="H72" i="3"/>
  <c r="L95" i="3"/>
  <c r="N72" i="3"/>
  <c r="N89" i="3"/>
  <c r="L72" i="3"/>
  <c r="K72" i="3"/>
  <c r="K89" i="3"/>
  <c r="K43" i="2"/>
  <c r="W43" i="2" s="1"/>
  <c r="W51" i="2" s="1"/>
  <c r="I86" i="3"/>
  <c r="G63" i="3"/>
  <c r="G78" i="3"/>
  <c r="L43" i="2"/>
  <c r="X43" i="2" s="1"/>
  <c r="X51" i="2" s="1"/>
  <c r="J86" i="3"/>
  <c r="P43" i="2"/>
  <c r="AB43" i="2" s="1"/>
  <c r="N86" i="3"/>
  <c r="C86" i="3"/>
  <c r="E43" i="2"/>
  <c r="Q43" i="2" s="1"/>
  <c r="K63" i="3"/>
  <c r="K78" i="3"/>
  <c r="N43" i="2"/>
  <c r="Z43" i="2" s="1"/>
  <c r="Z51" i="2" s="1"/>
  <c r="L86" i="3"/>
  <c r="M86" i="3"/>
  <c r="O43" i="2"/>
  <c r="AA43" i="2" s="1"/>
  <c r="AA51" i="2" s="1"/>
  <c r="F43" i="2"/>
  <c r="R43" i="2" s="1"/>
  <c r="R51" i="2" s="1"/>
  <c r="D86" i="3"/>
  <c r="I63" i="3"/>
  <c r="J43" i="2"/>
  <c r="V43" i="2" s="1"/>
  <c r="V51" i="2" s="1"/>
  <c r="H86" i="3"/>
  <c r="G43" i="2"/>
  <c r="S43" i="2" s="1"/>
  <c r="S51" i="2" s="1"/>
  <c r="E86" i="3"/>
  <c r="H43" i="2"/>
  <c r="T43" i="2" s="1"/>
  <c r="T51" i="2" s="1"/>
  <c r="F86" i="3"/>
  <c r="L59" i="2"/>
  <c r="D111" i="3"/>
  <c r="H59" i="2"/>
  <c r="J59" i="2"/>
  <c r="N59" i="2"/>
  <c r="B27" i="3"/>
  <c r="K59" i="2"/>
  <c r="F59" i="2"/>
  <c r="E63" i="3"/>
  <c r="J63" i="3"/>
  <c r="M63" i="3"/>
  <c r="F63" i="3"/>
  <c r="N63" i="3"/>
  <c r="C63" i="3"/>
  <c r="D63" i="3"/>
  <c r="H63" i="3"/>
  <c r="K73" i="3" l="1"/>
  <c r="D73" i="3"/>
  <c r="N73" i="3"/>
  <c r="I73" i="3"/>
  <c r="J73" i="3"/>
  <c r="I96" i="3"/>
  <c r="F73" i="3"/>
  <c r="J96" i="3"/>
  <c r="L73" i="3"/>
  <c r="M73" i="3"/>
  <c r="G73" i="3"/>
  <c r="F96" i="3"/>
  <c r="E73" i="3"/>
  <c r="H96" i="3"/>
  <c r="L96" i="3"/>
  <c r="H73" i="3"/>
  <c r="B89" i="3"/>
  <c r="E53" i="2"/>
  <c r="Q53" i="2" s="1"/>
  <c r="C95" i="3"/>
  <c r="C96" i="3" s="1"/>
  <c r="O53" i="2"/>
  <c r="AA53" i="2" s="1"/>
  <c r="AA59" i="2" s="1"/>
  <c r="M95" i="3"/>
  <c r="M96" i="3" s="1"/>
  <c r="M53" i="2"/>
  <c r="Y53" i="2" s="1"/>
  <c r="Y59" i="2" s="1"/>
  <c r="K95" i="3"/>
  <c r="I53" i="2"/>
  <c r="U53" i="2" s="1"/>
  <c r="U59" i="2" s="1"/>
  <c r="G95" i="3"/>
  <c r="D96" i="3"/>
  <c r="G53" i="2"/>
  <c r="S53" i="2" s="1"/>
  <c r="S59" i="2" s="1"/>
  <c r="E95" i="3"/>
  <c r="E96" i="3" s="1"/>
  <c r="P53" i="2"/>
  <c r="AB53" i="2" s="1"/>
  <c r="AB59" i="2" s="1"/>
  <c r="N95" i="3"/>
  <c r="N96" i="3" s="1"/>
  <c r="C73" i="3"/>
  <c r="N51" i="2"/>
  <c r="F51" i="2"/>
  <c r="K86" i="3"/>
  <c r="M43" i="2"/>
  <c r="Y43" i="2" s="1"/>
  <c r="Y51" i="2" s="1"/>
  <c r="G51" i="2"/>
  <c r="O51" i="2"/>
  <c r="P51" i="2"/>
  <c r="L51" i="2"/>
  <c r="J51" i="2"/>
  <c r="Q51" i="2"/>
  <c r="E51" i="2"/>
  <c r="I43" i="2"/>
  <c r="U43" i="2" s="1"/>
  <c r="U51" i="2" s="1"/>
  <c r="G86" i="3"/>
  <c r="B78" i="3"/>
  <c r="H51" i="2"/>
  <c r="K51" i="2"/>
  <c r="E111" i="3"/>
  <c r="K96" i="3" l="1"/>
  <c r="I59" i="2"/>
  <c r="P59" i="2"/>
  <c r="Q59" i="2"/>
  <c r="E59" i="2"/>
  <c r="E62" i="2" s="1"/>
  <c r="E60" i="2" s="1"/>
  <c r="G96" i="3"/>
  <c r="M59" i="2"/>
  <c r="G59" i="2"/>
  <c r="D112" i="3"/>
  <c r="B95" i="3"/>
  <c r="O59" i="2"/>
  <c r="M51" i="2"/>
  <c r="I51" i="2"/>
  <c r="D101" i="3"/>
  <c r="B86" i="3"/>
  <c r="E112" i="3" l="1"/>
  <c r="D118" i="3"/>
  <c r="E118" i="3" s="1"/>
  <c r="F62" i="2"/>
  <c r="F61" i="2" s="1"/>
  <c r="E61" i="2"/>
  <c r="B96" i="3"/>
  <c r="E101" i="3"/>
  <c r="D109" i="3"/>
  <c r="F60" i="2" l="1"/>
  <c r="G62" i="2"/>
  <c r="E109" i="3"/>
  <c r="D119" i="3"/>
  <c r="E119" i="3" s="1"/>
  <c r="H62" i="2" l="1"/>
  <c r="G61" i="2"/>
  <c r="G60" i="2"/>
  <c r="H61" i="2" l="1"/>
  <c r="H60" i="2"/>
  <c r="I62" i="2"/>
  <c r="I60" i="2" l="1"/>
  <c r="I61" i="2"/>
  <c r="J62" i="2"/>
  <c r="J61" i="2" l="1"/>
  <c r="K62" i="2"/>
  <c r="J60" i="2"/>
  <c r="K60" i="2" l="1"/>
  <c r="L62" i="2"/>
  <c r="K61" i="2"/>
  <c r="M62" i="2" l="1"/>
  <c r="L60" i="2"/>
  <c r="L61" i="2"/>
  <c r="M60" i="2" l="1"/>
  <c r="M61" i="2"/>
  <c r="N62" i="2"/>
  <c r="O62" i="2" l="1"/>
  <c r="N60" i="2"/>
  <c r="N61" i="2"/>
  <c r="P62" i="2" l="1"/>
  <c r="O60" i="2"/>
  <c r="O61" i="2"/>
  <c r="Q62" i="2" l="1"/>
  <c r="P60" i="2"/>
  <c r="P61" i="2"/>
  <c r="Q60" i="2" l="1"/>
  <c r="Q61" i="2"/>
  <c r="R62" i="2"/>
  <c r="R60" i="2" l="1"/>
  <c r="R61" i="2"/>
  <c r="S62" i="2"/>
  <c r="S60" i="2" l="1"/>
  <c r="S61" i="2"/>
  <c r="T62" i="2"/>
  <c r="T61" i="2" l="1"/>
  <c r="U62" i="2"/>
  <c r="T60" i="2"/>
  <c r="U60" i="2" l="1"/>
  <c r="V62" i="2"/>
  <c r="U61" i="2"/>
  <c r="W62" i="2" l="1"/>
  <c r="V61" i="2"/>
  <c r="V60" i="2"/>
  <c r="X62" i="2" l="1"/>
  <c r="W60" i="2"/>
  <c r="W61" i="2"/>
  <c r="Y62" i="2" l="1"/>
  <c r="X60" i="2"/>
  <c r="X61" i="2"/>
  <c r="Y60" i="2" l="1"/>
  <c r="Z62" i="2"/>
  <c r="Y61" i="2"/>
  <c r="Z60" i="2" l="1"/>
  <c r="Z61" i="2"/>
  <c r="AA62" i="2"/>
  <c r="AA60" i="2" l="1"/>
  <c r="AA61" i="2"/>
  <c r="AB62" i="2"/>
  <c r="AB60" i="2" l="1"/>
  <c r="AB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B2" authorId="0" shapeId="0" xr:uid="{00000000-0006-0000-0100-000001000000}">
      <text>
        <r>
          <rPr>
            <b/>
            <sz val="9"/>
            <color indexed="81"/>
            <rFont val="Tahoma"/>
            <family val="2"/>
          </rPr>
          <t>Click on cell for menu</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C41" authorId="0" shapeId="0" xr:uid="{00000000-0006-0000-0200-000001000000}">
      <text>
        <r>
          <rPr>
            <b/>
            <sz val="9"/>
            <color indexed="81"/>
            <rFont val="Tahoma"/>
            <family val="2"/>
          </rPr>
          <t>Input in $ Thousands</t>
        </r>
        <r>
          <rPr>
            <sz val="9"/>
            <color indexed="81"/>
            <rFont val="Tahoma"/>
            <family val="2"/>
          </rPr>
          <t xml:space="preserve">
</t>
        </r>
      </text>
    </comment>
  </commentList>
</comments>
</file>

<file path=xl/sharedStrings.xml><?xml version="1.0" encoding="utf-8"?>
<sst xmlns="http://schemas.openxmlformats.org/spreadsheetml/2006/main" count="638" uniqueCount="177">
  <si>
    <t>Cash Balance</t>
  </si>
  <si>
    <t>Cash Bal-Negative</t>
  </si>
  <si>
    <t>Cash Bal-Positive</t>
  </si>
  <si>
    <t>Outflows</t>
  </si>
  <si>
    <t>Inflows</t>
  </si>
  <si>
    <t>DATA INPUT WORKSHEET</t>
  </si>
  <si>
    <t xml:space="preserve"> TAX RECEIPTS</t>
  </si>
  <si>
    <t xml:space="preserve"> USER FEES</t>
  </si>
  <si>
    <t xml:space="preserve"> INVESTMENT INCOME</t>
  </si>
  <si>
    <t xml:space="preserve"> OTHER INCOME</t>
  </si>
  <si>
    <t xml:space="preserve"> SHARED REVENUES - FEDERAL</t>
  </si>
  <si>
    <t xml:space="preserve"> SHARED REVENUES - STATE</t>
  </si>
  <si>
    <t xml:space="preserve"> SHARED REVENUES - LOCAL</t>
  </si>
  <si>
    <t xml:space="preserve"> PAYROLL &amp; BENEFITS</t>
  </si>
  <si>
    <t xml:space="preserve"> GENERAL ADMINISTRATIVE</t>
  </si>
  <si>
    <t xml:space="preserve"> COMMODITIES</t>
  </si>
  <si>
    <t xml:space="preserve"> DEBT SERVICE</t>
  </si>
  <si>
    <t xml:space="preserve"> OTHER EXPENSE</t>
  </si>
  <si>
    <t>REVENUES (SOURCES):</t>
  </si>
  <si>
    <t>EXPENSES (USES):</t>
  </si>
  <si>
    <t xml:space="preserve">TOTAL SOURCES &gt; </t>
  </si>
  <si>
    <t xml:space="preserve">TOTAL USES &gt; </t>
  </si>
  <si>
    <t xml:space="preserve">NET &gt; </t>
  </si>
  <si>
    <t>STEP 2: INPUT PREVIOUS YEAR'S ACTUAL DATA (PRIOR TO LAST YEAR)</t>
  </si>
  <si>
    <t>STEP 3: INPUT CURRENT YEAR ANNUAL BUDGET OR ESTIMATE; MONTHLY VALUES AUTOMATICALLY CALCULATED BASED ON HISTORIC MONTHLY DATA</t>
  </si>
  <si>
    <t>NOTE: INPUT IN BLUE-SHADED CELLS ONLY</t>
  </si>
  <si>
    <t>INSTRUCTIONS: FOLLOW STEPS 1 - 5 BELOW</t>
  </si>
  <si>
    <t>INPUT</t>
  </si>
  <si>
    <t>AVG. RATE</t>
  </si>
  <si>
    <t>STEP 5: INPUT ANNUAL RATE OF CHANGE FOR FORECAST MONTHS 13 - 24 (SHOWN ON CASH FLOW CHART)</t>
  </si>
  <si>
    <t>STEP 4: IF APPLICABLE, ADJUST VALUES FROM STEP 3 IN SHADED CELLS BELOW</t>
  </si>
  <si>
    <t>Starting Balance &gt;</t>
  </si>
  <si>
    <t>ACCOUNT GROUP</t>
  </si>
  <si>
    <t>ACCOUNT TYPE</t>
  </si>
  <si>
    <t>PRIMARY DRIVERS</t>
  </si>
  <si>
    <t>SECONDARY VARIABLES</t>
  </si>
  <si>
    <t>OTHER VARIABLES</t>
  </si>
  <si>
    <t>PROPERTY TAX</t>
  </si>
  <si>
    <t>GENERAL, TAX INCREMENT, SPECIAL PURPOSE</t>
  </si>
  <si>
    <t>ASSESSED VALUE (COMMERCIAL, RESIDENTIAL, OTHER), MILLAGE RATES, COLLECTION RATES</t>
  </si>
  <si>
    <t>NEW CONSTRUCTION, ANNEXATIONS, FORECLOSURES, AV APPEALS, MARKET VALUE, HOUSING PRICE INDEX</t>
  </si>
  <si>
    <t>POPULATION, NO. HOUSEHOLDS, NO. BUSINESSES, STATE GDP AND LOCAL ECONOMIC ACTIVITY</t>
  </si>
  <si>
    <t>SALES AND USE TAX</t>
  </si>
  <si>
    <t>GENERAL, PUBLIC SAFETY, TEMPORARY, SPECIAL PURPOSE</t>
  </si>
  <si>
    <t>SALES TAX RECEIPTS (BY BUSINESS CATEGORY), DIRECT SALES TAX RATE</t>
  </si>
  <si>
    <t>POPULATION (SEASONAL DAYTIME AND RESIDENTIAL), NO. HOUSEHOLDS, NO. BUSINESSES, STATE GDP AND LOCAL ECONOMIC ACTIVITY</t>
  </si>
  <si>
    <t>PERSONAL INCOME PER CAPITA, UNEMPLOYMENT RATE, INFLATION</t>
  </si>
  <si>
    <t>UTILITY USERS TAX AND FRANCHISE FEES</t>
  </si>
  <si>
    <t>ELECTRICITY, GAS, SEWER, WATER, TELECOMM, OTHER</t>
  </si>
  <si>
    <t>UTILITY CONSUMPTION/USE (ELECTRICITY, GAS, SEWER, WATER, TELEPHONE, ETC.), UUT RATE, FRANCHISE FEE (% RECEIPTS)</t>
  </si>
  <si>
    <t>COST OF ENERGY, WATER, OTHER DIRECT UTILITY COSTS; PERSONAL INCOME PER CAPITA, UNEMPLOYMENT RATE, INFLATION</t>
  </si>
  <si>
    <t>TRANSIENT OCCUPANCY TAX</t>
  </si>
  <si>
    <t>HOTEL/MOTEL TAX, SPECIAL PURPOSE</t>
  </si>
  <si>
    <t>HOTEL/MOTEL VACANCY RATES, ROOM/BED TAX RATES</t>
  </si>
  <si>
    <t>LICENSES AND PERMITS</t>
  </si>
  <si>
    <t>BUSINESS LICENSES, ANIMAL LICENSES, BUILDING PERMITS, DEVELOPER PERMITS AND FEES</t>
  </si>
  <si>
    <t>NO. PERMITS AND LICENSES ISSUED, LICENSE AND PERMIT FEES</t>
  </si>
  <si>
    <t>DEVELOPMENT ACTIVITY, PERSONAL INCOME PER CAPITA, UNEMPLOYMENT RATE, INFLATION</t>
  </si>
  <si>
    <t>FINES AND FORFEITURES</t>
  </si>
  <si>
    <t>TRAFFIC FINES, COURT FINES AND FORFEITURES</t>
  </si>
  <si>
    <t>NO. CITATIONS AND INFRACTIONS, FEES AND PENALTIES</t>
  </si>
  <si>
    <t>CHARGES FOR SERVICES</t>
  </si>
  <si>
    <t>UTILITY CHARGES, MUNICIPAL SERVICES (AIRPORT, PARKS AND RECREATION, GOLF, ETC.), INTERNAL SERVICE CHARGES</t>
  </si>
  <si>
    <t>SERVICE LEVEL AND FEE SCHEDULES</t>
  </si>
  <si>
    <t>DEMAND FOR SERVICES, DEVELOPMENT ACTIVITY, BUSINESS ACTIVITY, PERSONAL INCOME PER CAPITA, UNEMPLOYMENT RATE, INFLATION</t>
  </si>
  <si>
    <t>USE OF MONEY AND PROPERTY</t>
  </si>
  <si>
    <t>INTEREST INCOME, PUBLIC FACILITY LEASE AND RENTAL</t>
  </si>
  <si>
    <t>INVESTED CASH BALANCES AND YIELDS, RENTAL PROPERTY LEASE RATES</t>
  </si>
  <si>
    <t>PROJECTED SURPLUS/(DEFICIT), COST OF MONEY (FED AND BANK RATES), RENTAL MARKET ACTIVITY, VACANCY RATES</t>
  </si>
  <si>
    <t>PREVAILING ECONOMIC CONDITIONS, INFLATION</t>
  </si>
  <si>
    <t>INTERGOVERNMENTAL REVENUES</t>
  </si>
  <si>
    <t>FEDERAL, STATE AND LOCAL GRANT AND REVENUE-SHARING</t>
  </si>
  <si>
    <t>FEDERAL, STATE AND LOCAL GRANTS, REVENUE-SHARING AGREEMENTS</t>
  </si>
  <si>
    <t>NO. PROGRAM RECIPIENTS (MEDICAID, OTHER SUPPORT BENEFITS), LEGISLATIVE AND POLITICAL ACTIVITY</t>
  </si>
  <si>
    <t>POPULATION, NO. HOUSEHOLDS, NO. BUSINESSES, NATIONAL, STATE GDP AND LOCAL ECONOMIC ACTIVITY</t>
  </si>
  <si>
    <t>SALARIES AND WAGES</t>
  </si>
  <si>
    <t>REGULAR, PART-TIME, TEMPORARY AND SPECIAL WAGES</t>
  </si>
  <si>
    <t>NO. STAFF AND PERSONNEL, FULL-TIME, PART-TIME AND SPECIAL WAGES</t>
  </si>
  <si>
    <t>CONTRACTUAL COMMITMENTS (LABOR AGREEMENTS), APPROVED STAFF LEVELS</t>
  </si>
  <si>
    <t>LABOR MARKET RATES, UNEMPLOYMENT RATE</t>
  </si>
  <si>
    <t>PENSION AND RETIREMENT</t>
  </si>
  <si>
    <t>EMPLOYER AND EMPLOYEE RETIREMENT CONTRIBUTIONS AND PENSION ADMINISTRATION COSTS</t>
  </si>
  <si>
    <t>NO. STAFF, AVERAGE ANNUAL ER/EE PENSION CONTRIBUTION RATES</t>
  </si>
  <si>
    <t>PROJECTED PENSION PORTFOLIO YIELDS, UNFUNDED LIABILITIES</t>
  </si>
  <si>
    <t>HEALTHCARE AND OTHER BENEFITS</t>
  </si>
  <si>
    <t>MEDICAL/DENTAL/VISION INSURANCE PREMIUMS, FICA, MEDICARE, DISABILITY, WORKERS COMPENSATION, UNIFORM, AUTO AND OTHER ALLOWANCES</t>
  </si>
  <si>
    <t>NO. STAFF, AVERAGE ANNUAL HEALTHCARE AND LIFE PREMIUMS OR SELF-INSURED COST INCREASE; FICA/MEDICARE AND REGULATORY REQUIREMENTS RE. WORKERS COMP., ETC.</t>
  </si>
  <si>
    <t>MEDICAL COST TRENDS, CHANGE IN FICA/MEDICARE CONTRIBUTION, WORKERS COMP CHANGES</t>
  </si>
  <si>
    <t>CONTRACT AND PROFESSIONAL SERVICES</t>
  </si>
  <si>
    <t>OUTSOURCED SERVICES, EXPERT AND CONSULTING SERVICES, RECURRING SUPPORT SERVICES</t>
  </si>
  <si>
    <t>DEMAND FOR SERVICES, NO. STAFF, LEVEL OF OUTSOURCING, INFLATION</t>
  </si>
  <si>
    <t>SOURCING CONTRACTUAL TERMS</t>
  </si>
  <si>
    <t>MAINTENANCE AND REPAIR</t>
  </si>
  <si>
    <t>EQUIPMENT / FACILITIES / FLEET MAINTENANCE AND REPAIR</t>
  </si>
  <si>
    <t>MATERIALS AND SUPPLIES</t>
  </si>
  <si>
    <t>OFFICE SUPPLIES, SPECIAL MATERIALS, FUEL, CONSUMABLES, OTHER MATERIALS AND SUPPLIES</t>
  </si>
  <si>
    <t>CAPITAL PROJECTS</t>
  </si>
  <si>
    <t>CAPITAL IMPROVEMENT PROJECTS</t>
  </si>
  <si>
    <t>CAPITAL IMPROVEMENTS PROGRAM, MULTI-YEAR CIP</t>
  </si>
  <si>
    <t>AVAILABILITY OF DISCRETIONARY FUNDING, POLICY GOALS FOR CAPITAL INVESTMENT</t>
  </si>
  <si>
    <t>INFRASTRUCTURE REPAIR BACKLOG, GENERAL/MASTER PLAN REQUIREMENTS</t>
  </si>
  <si>
    <t>DEBT EXPENSE</t>
  </si>
  <si>
    <t>LONG-TERM / SHORT-TERM BONDS, NOTES, LEASES</t>
  </si>
  <si>
    <t>DEBT SCHEDULE (PRINCIPAL AND INTEREST PAYMENTS), BROKERS AND AGENTS FEES, DEFEASANCE FEES</t>
  </si>
  <si>
    <t>POLICY AND REGULATORY DEBT CONSTRAINTS</t>
  </si>
  <si>
    <t>PREVAILING ECONOMIC CONDITIONS, COST OF MONEY, INFLATION</t>
  </si>
  <si>
    <t>Revenue and Expenditure Forecasting Indicators</t>
  </si>
  <si>
    <t>Simplified Monthly Cash Flow Model</t>
  </si>
  <si>
    <t>To use this model, please follow the steps indicated in the following worksheets. Please only input values in the light-blue shaded cells.</t>
  </si>
  <si>
    <t>Worksheet 2-Data Input and Assumptions</t>
  </si>
  <si>
    <t>Worksheet 3-Cash Flow Chart</t>
  </si>
  <si>
    <t>MONTHLY CASH FLOW ESTIMATE</t>
  </si>
  <si>
    <t>Questions and Feedback?</t>
  </si>
  <si>
    <t>STEP 1: INPUT REVENUE/EXPENSE CATEGORIES AND LAST YEAR'S ACTUAL DATA</t>
  </si>
  <si>
    <t xml:space="preserve"> OTHER SOURCE</t>
  </si>
  <si>
    <t xml:space="preserve"> OTHER USE</t>
  </si>
  <si>
    <t>INPUT ENDING FISCAL YEAR &gt;</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</si>
  <si>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</si>
  <si>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</si>
  <si>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</si>
  <si>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</si>
  <si>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</si>
  <si>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</si>
  <si>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</si>
  <si>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</si>
  <si>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</si>
  <si>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</si>
  <si>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</si>
  <si>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</si>
  <si>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</si>
  <si>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</si>
  <si>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</si>
  <si>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</si>
  <si>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</si>
  <si>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</si>
  <si>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</si>
  <si>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</si>
  <si>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</si>
  <si>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</si>
  <si>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</si>
  <si>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</si>
  <si>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</si>
  <si>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</si>
  <si>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</si>
  <si>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</si>
  <si>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</si>
  <si>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</si>
  <si>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</si>
  <si>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</si>
  <si>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</si>
  <si>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</si>
  <si>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</si>
  <si>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</si>
  <si>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↓CLICK ON CELL↓</t>
  </si>
  <si>
    <t>JUL-2017</t>
  </si>
  <si>
    <t>AUG-2017</t>
  </si>
  <si>
    <t>SEP-2017</t>
  </si>
  <si>
    <t>OCT-2017</t>
  </si>
  <si>
    <t>NOV-2017</t>
  </si>
  <si>
    <t>DEC-2017</t>
  </si>
  <si>
    <t>FEB-2017</t>
  </si>
  <si>
    <t>MAR-2017</t>
  </si>
  <si>
    <t>APR-2017</t>
  </si>
  <si>
    <t>MAY-2017</t>
  </si>
  <si>
    <t>JUN-2017</t>
  </si>
  <si>
    <r>
      <t>Step 1</t>
    </r>
    <r>
      <rPr>
        <sz val="12"/>
        <rFont val="Arial"/>
        <family val="2"/>
      </rPr>
      <t>: Input actual monthly revenues and expenditures for the previous fiscal year in Rows 8 – 25.</t>
    </r>
  </si>
  <si>
    <t>Select ending fiscal year in Cell B2 (Click on orange-shaded cell for FY menu)</t>
  </si>
  <si>
    <r>
      <t>Step 2</t>
    </r>
    <r>
      <rPr>
        <sz val="12"/>
        <rFont val="Arial"/>
        <family val="2"/>
      </rPr>
      <t>: Input actual monthly revenues and expenditures for the previous fiscal year in Rows 31 – 48.</t>
    </r>
  </si>
  <si>
    <r>
      <t>Step 3</t>
    </r>
    <r>
      <rPr>
        <sz val="12"/>
        <rFont val="Arial"/>
        <family val="2"/>
      </rPr>
      <t>: Input the current fiscal year annual budget totals in Column B, Rows 54 – 71. Monthly values will be automatically calculated based on averages from the preceeding two fiscal years of historic actual data.</t>
    </r>
  </si>
  <si>
    <r>
      <t>Step 4</t>
    </r>
    <r>
      <rPr>
        <sz val="12"/>
        <rFont val="Arial"/>
        <family val="2"/>
      </rPr>
      <t xml:space="preserve">: For the current fiscal year, monthly values from </t>
    </r>
    <r>
      <rPr>
        <b/>
        <i/>
        <sz val="12"/>
        <rFont val="Arial"/>
        <family val="2"/>
      </rPr>
      <t>Step 3</t>
    </r>
    <r>
      <rPr>
        <sz val="12"/>
        <rFont val="Arial"/>
        <family val="2"/>
      </rPr>
      <t xml:space="preserve"> are carried over into Rows 77 – 94. If any values need to be adjusted, over-write the formula and input the adjusted values into the appropriate light-blue cell(s). Be sure that the 12-month totals match the annual totals input in </t>
    </r>
    <r>
      <rPr>
        <b/>
        <i/>
        <sz val="12"/>
        <rFont val="Arial"/>
        <family val="2"/>
      </rPr>
      <t>Step 3</t>
    </r>
    <r>
      <rPr>
        <sz val="12"/>
        <rFont val="Arial"/>
        <family val="2"/>
      </rPr>
      <t>.</t>
    </r>
  </si>
  <si>
    <r>
      <t>Step 5</t>
    </r>
    <r>
      <rPr>
        <sz val="12"/>
        <rFont val="Arial"/>
        <family val="2"/>
      </rPr>
      <t>: To project monthly revenues and expenditures into the future 12-month period, input the assumed annual rates of change for each major revenue and expenditure group in Column F, Rows 100 – 117.</t>
    </r>
  </si>
  <si>
    <r>
      <t xml:space="preserve">Values from Worksheet </t>
    </r>
    <r>
      <rPr>
        <b/>
        <i/>
        <sz val="12"/>
        <rFont val="Arial"/>
        <family val="2"/>
      </rPr>
      <t>2-Data Input and Assumptions</t>
    </r>
    <r>
      <rPr>
        <sz val="12"/>
        <rFont val="Arial"/>
        <family val="2"/>
      </rPr>
      <t xml:space="preserve"> are illustrated in the chart. Input the starting cash, reserve or fund balance into Cell C41.</t>
    </r>
  </si>
  <si>
    <r>
      <t xml:space="preserve">The Simplified Excel-based Monthly Cash Flow Model provides a simple tool for analyzing the net impact of major revenues, expenditures and corresponding balances projected over a 24 month period. As this is a simplified version of a detailed cash flow model, it only allows for input of starting cash, fund or reserve balances, and projects subsequent net balances based on 24 months of historic data and assumed annual rates of change for major revenue and expenditure groups for the subsequent 24 month period. </t>
    </r>
    <r>
      <rPr>
        <b/>
        <i/>
        <sz val="12"/>
        <rFont val="Arial"/>
        <family val="2"/>
      </rPr>
      <t>CAVEAT:</t>
    </r>
    <r>
      <rPr>
        <sz val="12"/>
        <rFont val="Arial"/>
        <family val="2"/>
      </rPr>
      <t xml:space="preserve"> This simplified model does not include input fields for changes to working capital, A/R and A/P cycles, adjustments for accruals, non-cash adjustments and other balance sheet-related items, and as such is not intended to be a replacement for a thorough cash flow analysis.</t>
    </r>
  </si>
  <si>
    <t>Copyright 2004-2019, Government Finance Research Group LLC, www.MuniCast.com</t>
  </si>
  <si>
    <t>Copyright 2004-2019, Government Finance Research Group LLC, www.municast.com</t>
  </si>
  <si>
    <r>
      <t xml:space="preserve">A detailed cash flow forecasting model will also include a more thorough analysis and projection of economic, operating, contractual and other factors impacting revenues and expenditures, such as capital programs, debt expense and other examples included in the reference chart on the </t>
    </r>
    <r>
      <rPr>
        <b/>
        <i/>
        <sz val="12"/>
        <rFont val="Arial"/>
        <family val="2"/>
      </rPr>
      <t>4-Forecast Indicators</t>
    </r>
    <r>
      <rPr>
        <sz val="12"/>
        <rFont val="Arial"/>
        <family val="2"/>
      </rPr>
      <t xml:space="preserve"> worksheet. For an example of a comprehensive Excel-based forecasting model, please see MuniCast.com</t>
    </r>
  </si>
  <si>
    <t>If you have any questions regarding the use of this model, or have suggestions for improving it, please contact Government Finance Research Group LLC at: municast@gmail.com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</si>
</sst>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color indexed="8"/>
      <name val="Calibri"/>
      <family val="2"/>
    </font>
    <font>
      <b/>
      <i/>
      <sz val="12"/>
      <color theme="0"/>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4"/>
      <color theme="0"/>
      <name val="Calibri"/>
      <family val="2"/>
      <scheme val="minor"/>
    </font>
    <font>
      <u/>
      <sz val="11"/>
      <color theme="10"/>
      <name val="Calibri"/>
      <family val="2"/>
      <scheme val="minor"/>
    </font>
    <font>
      <b/>
      <i/>
      <sz val="12"/>
      <name val="Calibri"/>
      <family val="2"/>
      <scheme val="minor"/>
    </font>
    <font>
      <b/>
      <sz val="12"/>
      <name val="Arial"/>
      <family val="2"/>
    </font>
    <font>
      <sz val="12"/>
      <name val="Arial"/>
      <family val="2"/>
    </font>
    <font>
      <b/>
      <i/>
      <sz val="12"/>
      <name val="Arial"/>
      <family val="2"/>
    </font>
    <font>
      <b/>
      <sz val="12"/>
      <color theme="0"/>
      <name val="Arial"/>
      <family val="2"/>
    </font>
    <font>
      <b/>
      <i/>
      <sz val="10"/>
      <name val="Arial"/>
      <family val="2"/>
    </font>
    <font>
      <b/>
      <sz val="8"/>
      <color theme="1"/>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1">
    <xf numFmtId="0" fontId="0" fillId="0" borderId="0" xfId="0"/>
    <xf numFmtId="166" fontId="0" fillId="2" borderId="9" xfId="2" applyNumberFormat="1" applyFont="1" applyFill="1" applyBorder="1" applyAlignment="1" applyProtection="1">
      <alignment horizontal="center"/>
      <protection locked="0"/>
    </xf>
    <xf numFmtId="0" fontId="8" fillId="3" borderId="0" xfId="0" applyFont="1" applyFill="1" applyProtection="1"/>
    <xf numFmtId="0" fontId="0" fillId="3" borderId="0" xfId="0" applyFill="1" applyProtection="1"/>
    <xf numFmtId="0" fontId="7" fillId="3" borderId="0" xfId="0" applyFont="1" applyFill="1" applyAlignment="1" applyProtection="1">
      <alignment horizontal="right"/>
    </xf>
    <xf numFmtId="0" fontId="0" fillId="0" borderId="0" xfId="0" applyProtection="1"/>
    <xf numFmtId="0" fontId="7" fillId="3" borderId="0" xfId="0" applyFont="1" applyFill="1" applyBorder="1" applyAlignment="1" applyProtection="1"/>
    <xf numFmtId="0" fontId="0" fillId="3" borderId="0" xfId="0" applyFill="1" applyBorder="1" applyAlignment="1" applyProtection="1"/>
    <xf numFmtId="0" fontId="0" fillId="3" borderId="0" xfId="0" applyFill="1" applyBorder="1" applyProtection="1"/>
    <xf numFmtId="164" fontId="0" fillId="0" borderId="0" xfId="0" applyNumberFormat="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8" xfId="0" applyBorder="1" applyAlignment="1" applyProtection="1">
      <alignment horizontal="center"/>
    </xf>
    <xf numFmtId="0" fontId="0" fillId="0" borderId="7" xfId="0" applyBorder="1" applyAlignment="1" applyProtection="1">
      <alignment horizontal="center"/>
    </xf>
    <xf numFmtId="0" fontId="4" fillId="0" borderId="8" xfId="0" applyFont="1" applyBorder="1" applyAlignment="1" applyProtection="1">
      <alignment horizontal="right"/>
    </xf>
    <xf numFmtId="0" fontId="0" fillId="0" borderId="7" xfId="0" applyBorder="1" applyProtection="1"/>
    <xf numFmtId="0" fontId="0" fillId="0" borderId="7" xfId="0" applyBorder="1" applyAlignment="1" applyProtection="1">
      <alignment horizontal="right"/>
    </xf>
    <xf numFmtId="164" fontId="0" fillId="0" borderId="7" xfId="4" applyNumberFormat="1" applyFont="1" applyBorder="1" applyAlignment="1" applyProtection="1">
      <alignment horizontal="center"/>
    </xf>
    <xf numFmtId="0" fontId="4" fillId="0" borderId="5" xfId="0" applyFont="1" applyBorder="1" applyAlignment="1" applyProtection="1">
      <alignment horizontal="right"/>
    </xf>
    <xf numFmtId="0" fontId="0" fillId="0" borderId="0" xfId="0" applyBorder="1" applyAlignment="1" applyProtection="1">
      <alignment horizontal="right"/>
    </xf>
    <xf numFmtId="164" fontId="0" fillId="0" borderId="0" xfId="4" applyNumberFormat="1" applyFont="1" applyBorder="1" applyAlignment="1" applyProtection="1">
      <alignment horizontal="center"/>
    </xf>
    <xf numFmtId="164" fontId="0" fillId="0" borderId="4" xfId="4" applyNumberFormat="1" applyFont="1" applyBorder="1" applyAlignment="1" applyProtection="1">
      <alignment horizontal="center"/>
    </xf>
    <xf numFmtId="0" fontId="0" fillId="0" borderId="15" xfId="0" applyBorder="1" applyProtection="1"/>
    <xf numFmtId="0" fontId="0" fillId="0" borderId="13" xfId="0" applyBorder="1" applyProtection="1"/>
    <xf numFmtId="0" fontId="0" fillId="0" borderId="13" xfId="0" applyBorder="1" applyAlignment="1" applyProtection="1">
      <alignment horizontal="right"/>
    </xf>
    <xf numFmtId="164" fontId="0" fillId="0" borderId="13" xfId="4" applyNumberFormat="1" applyFont="1" applyFill="1" applyBorder="1" applyProtection="1"/>
    <xf numFmtId="164" fontId="0" fillId="0" borderId="14" xfId="4" applyNumberFormat="1" applyFont="1" applyFill="1" applyBorder="1" applyProtection="1"/>
    <xf numFmtId="0" fontId="0" fillId="0" borderId="8" xfId="0" applyBorder="1" applyProtection="1"/>
    <xf numFmtId="0" fontId="0" fillId="0" borderId="5" xfId="0" applyBorder="1" applyProtection="1"/>
    <xf numFmtId="164" fontId="0" fillId="0" borderId="5" xfId="4" applyNumberFormat="1" applyFont="1" applyBorder="1" applyProtection="1"/>
    <xf numFmtId="164" fontId="0" fillId="0" borderId="0" xfId="4" applyNumberFormat="1" applyFont="1" applyBorder="1" applyProtection="1"/>
    <xf numFmtId="164" fontId="0" fillId="0" borderId="0" xfId="4" applyNumberFormat="1" applyFont="1" applyBorder="1" applyAlignment="1" applyProtection="1">
      <alignment horizontal="right"/>
    </xf>
    <xf numFmtId="164" fontId="0" fillId="0" borderId="4" xfId="4" applyNumberFormat="1" applyFont="1" applyBorder="1" applyProtection="1"/>
    <xf numFmtId="164" fontId="0" fillId="0" borderId="0" xfId="4" applyNumberFormat="1" applyFont="1" applyProtection="1"/>
    <xf numFmtId="164" fontId="0" fillId="0" borderId="3" xfId="4" applyNumberFormat="1" applyFont="1" applyBorder="1" applyProtection="1"/>
    <xf numFmtId="164" fontId="0" fillId="0" borderId="2" xfId="4" applyNumberFormat="1" applyFont="1" applyBorder="1" applyProtection="1"/>
    <xf numFmtId="164" fontId="0" fillId="0" borderId="1" xfId="4" applyNumberFormat="1" applyFont="1" applyBorder="1" applyProtection="1"/>
    <xf numFmtId="0" fontId="3" fillId="0" borderId="0" xfId="0" applyFont="1" applyProtection="1"/>
    <xf numFmtId="43" fontId="0" fillId="0" borderId="0" xfId="0" applyNumberFormat="1" applyProtection="1"/>
    <xf numFmtId="0" fontId="9" fillId="0" borderId="0" xfId="0" applyFont="1" applyProtection="1"/>
    <xf numFmtId="0" fontId="4" fillId="5" borderId="0" xfId="0" applyFont="1" applyFill="1" applyProtection="1"/>
    <xf numFmtId="0" fontId="0" fillId="4" borderId="0" xfId="0" applyFill="1" applyProtection="1"/>
    <xf numFmtId="0" fontId="3" fillId="4" borderId="0" xfId="0" applyFont="1" applyFill="1" applyAlignment="1" applyProtection="1">
      <alignment horizontal="center"/>
    </xf>
    <xf numFmtId="0" fontId="4" fillId="0" borderId="11" xfId="0" applyFont="1" applyBorder="1" applyAlignment="1" applyProtection="1">
      <alignment horizontal="right"/>
    </xf>
    <xf numFmtId="164" fontId="4" fillId="0" borderId="11" xfId="4" applyNumberFormat="1" applyFont="1" applyBorder="1" applyProtection="1"/>
    <xf numFmtId="43" fontId="0" fillId="0" borderId="0" xfId="4" applyFont="1" applyProtection="1"/>
    <xf numFmtId="0" fontId="4" fillId="0" borderId="13" xfId="0" applyFont="1" applyBorder="1" applyAlignment="1" applyProtection="1">
      <alignment horizontal="right"/>
    </xf>
    <xf numFmtId="164" fontId="4" fillId="0" borderId="13" xfId="4" applyNumberFormat="1" applyFont="1" applyBorder="1" applyProtection="1"/>
    <xf numFmtId="0" fontId="0" fillId="5" borderId="0" xfId="0" applyFill="1" applyProtection="1"/>
    <xf numFmtId="164" fontId="3" fillId="0" borderId="11" xfId="4" applyNumberFormat="1" applyFont="1" applyBorder="1" applyProtection="1"/>
    <xf numFmtId="164" fontId="3" fillId="0" borderId="13" xfId="4" applyNumberFormat="1" applyFont="1" applyBorder="1" applyProtection="1"/>
    <xf numFmtId="165" fontId="0" fillId="0" borderId="0" xfId="5" applyNumberFormat="1" applyFont="1" applyProtection="1"/>
    <xf numFmtId="165" fontId="4" fillId="0" borderId="11" xfId="5" applyNumberFormat="1" applyFont="1" applyBorder="1" applyProtection="1"/>
    <xf numFmtId="165" fontId="4" fillId="0" borderId="13" xfId="5" applyNumberFormat="1" applyFont="1" applyBorder="1" applyProtection="1"/>
    <xf numFmtId="164" fontId="0" fillId="2" borderId="10" xfId="4" applyNumberFormat="1" applyFont="1" applyFill="1" applyBorder="1" applyProtection="1">
      <protection locked="0"/>
    </xf>
    <xf numFmtId="164" fontId="0" fillId="2" borderId="12" xfId="4" applyNumberFormat="1" applyFont="1" applyFill="1" applyBorder="1" applyProtection="1">
      <protection locked="0"/>
    </xf>
    <xf numFmtId="165" fontId="0" fillId="2" borderId="10" xfId="5" applyNumberFormat="1" applyFont="1" applyFill="1" applyBorder="1" applyProtection="1">
      <protection locked="0"/>
    </xf>
    <xf numFmtId="0" fontId="9" fillId="0" borderId="5" xfId="0" applyFont="1" applyBorder="1" applyAlignment="1">
      <alignment vertical="center" wrapText="1"/>
    </xf>
    <xf numFmtId="0" fontId="0" fillId="0" borderId="19"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0" fontId="9" fillId="4" borderId="5" xfId="0" applyFont="1" applyFill="1" applyBorder="1" applyAlignment="1">
      <alignment vertical="center" wrapText="1"/>
    </xf>
    <xf numFmtId="0" fontId="0" fillId="4" borderId="19" xfId="0" applyFill="1" applyBorder="1" applyAlignment="1">
      <alignment vertical="center" wrapText="1"/>
    </xf>
    <xf numFmtId="0" fontId="0" fillId="4" borderId="4" xfId="0" applyFill="1" applyBorder="1" applyAlignment="1">
      <alignment vertical="center" wrapText="1"/>
    </xf>
    <xf numFmtId="0" fontId="0" fillId="0" borderId="0" xfId="0" applyAlignment="1">
      <alignment vertical="center" wrapText="1"/>
    </xf>
    <xf numFmtId="0" fontId="14" fillId="0" borderId="0" xfId="6" applyFont="1" applyAlignment="1">
      <alignment horizontal="left"/>
    </xf>
    <xf numFmtId="0" fontId="7" fillId="0" borderId="0" xfId="0" applyFont="1" applyAlignment="1">
      <alignment horizontal="right"/>
    </xf>
    <xf numFmtId="0" fontId="12" fillId="6" borderId="16" xfId="0" applyFont="1" applyFill="1" applyBorder="1" applyAlignment="1">
      <alignment horizontal="center"/>
    </xf>
    <xf numFmtId="0" fontId="12" fillId="6" borderId="17" xfId="0" applyFont="1" applyFill="1" applyBorder="1" applyAlignment="1">
      <alignment horizontal="center"/>
    </xf>
    <xf numFmtId="0" fontId="12" fillId="6" borderId="18" xfId="0" applyFont="1" applyFill="1" applyBorder="1" applyAlignment="1">
      <alignment horizontal="center"/>
    </xf>
    <xf numFmtId="0" fontId="0" fillId="6" borderId="3" xfId="0" applyFill="1" applyBorder="1"/>
    <xf numFmtId="0" fontId="0" fillId="6" borderId="20" xfId="0" applyFill="1" applyBorder="1" applyAlignment="1">
      <alignment wrapText="1"/>
    </xf>
    <xf numFmtId="0" fontId="0" fillId="6" borderId="20" xfId="0" applyFill="1" applyBorder="1"/>
    <xf numFmtId="0" fontId="0" fillId="6" borderId="1" xfId="0" applyFill="1" applyBorder="1"/>
    <xf numFmtId="0" fontId="6" fillId="6" borderId="0" xfId="0" applyFont="1" applyFill="1" applyProtection="1"/>
    <xf numFmtId="0" fontId="2" fillId="6" borderId="0" xfId="0" applyFont="1" applyFill="1" applyProtection="1"/>
    <xf numFmtId="0" fontId="15" fillId="0" borderId="0" xfId="0" applyFont="1" applyAlignment="1">
      <alignment vertical="center" wrapText="1"/>
    </xf>
    <xf numFmtId="0" fontId="16" fillId="0" borderId="0" xfId="0"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8" fillId="6" borderId="0" xfId="0" applyFont="1" applyFill="1" applyAlignment="1">
      <alignment vertical="center" wrapText="1"/>
    </xf>
    <xf numFmtId="0" fontId="19" fillId="0" borderId="0" xfId="0" applyFont="1" applyAlignment="1">
      <alignment wrapText="1"/>
    </xf>
    <xf numFmtId="164" fontId="0" fillId="0" borderId="8" xfId="4" applyNumberFormat="1" applyFont="1" applyBorder="1" applyProtection="1"/>
    <xf numFmtId="164" fontId="0" fillId="0" borderId="7" xfId="4" applyNumberFormat="1" applyFont="1" applyBorder="1" applyProtection="1"/>
    <xf numFmtId="164" fontId="0" fillId="0" borderId="7" xfId="4" applyNumberFormat="1" applyFont="1" applyBorder="1" applyAlignment="1" applyProtection="1">
      <alignment horizontal="right"/>
    </xf>
    <xf numFmtId="164" fontId="0" fillId="0" borderId="6" xfId="4" applyNumberFormat="1" applyFont="1" applyBorder="1" applyProtection="1"/>
    <xf numFmtId="164" fontId="0" fillId="0" borderId="2" xfId="4" applyNumberFormat="1" applyFont="1" applyFill="1" applyBorder="1" applyAlignment="1" applyProtection="1">
      <alignment horizontal="right"/>
    </xf>
    <xf numFmtId="0" fontId="0" fillId="2" borderId="10" xfId="0" applyFill="1" applyBorder="1" applyProtection="1">
      <protection locked="0"/>
    </xf>
    <xf numFmtId="0" fontId="3" fillId="7" borderId="17" xfId="0" applyFont="1" applyFill="1" applyBorder="1" applyAlignment="1" applyProtection="1">
      <alignment horizontal="center"/>
      <protection locked="0"/>
    </xf>
    <xf numFmtId="0" fontId="0" fillId="0" borderId="0" xfId="0" applyAlignment="1">
      <alignment horizontal="center"/>
    </xf>
    <xf numFmtId="0" fontId="20" fillId="0" borderId="0" xfId="0" applyFont="1" applyAlignment="1" applyProtection="1">
      <alignment horizontal="center"/>
    </xf>
    <xf numFmtId="17" fontId="0" fillId="0" borderId="0" xfId="0" applyNumberFormat="1" applyAlignment="1">
      <alignment horizontal="center"/>
    </xf>
    <xf numFmtId="0" fontId="0" fillId="0" borderId="2" xfId="0" applyBorder="1" applyAlignment="1" applyProtection="1">
      <alignment horizontal="center"/>
    </xf>
    <xf numFmtId="0" fontId="0" fillId="0" borderId="2" xfId="0" applyBorder="1" applyProtection="1"/>
    <xf numFmtId="0" fontId="0" fillId="0" borderId="1" xfId="0" applyBorder="1" applyAlignment="1" applyProtection="1">
      <alignment horizontal="center"/>
    </xf>
    <xf numFmtId="167" fontId="0" fillId="0" borderId="0" xfId="0" applyNumberFormat="1" applyProtection="1"/>
    <xf numFmtId="0" fontId="16" fillId="5" borderId="0" xfId="0" applyFont="1" applyFill="1" applyAlignment="1">
      <alignment vertical="center" wrapText="1"/>
    </xf>
    <xf numFmtId="0" fontId="16" fillId="5" borderId="0" xfId="6" applyFont="1" applyFill="1" applyAlignment="1">
      <alignment vertical="center" wrapText="1"/>
    </xf>
  </cellXfs>
  <cellStyles count="7">
    <cellStyle name="Comma" xfId="4" builtinId="3"/>
    <cellStyle name="Comma 2" xfId="1" xr:uid="{00000000-0005-0000-0000-000001000000}"/>
    <cellStyle name="Currency 2" xfId="2" xr:uid="{00000000-0005-0000-0000-000002000000}"/>
    <cellStyle name="Hyperlink" xfId="6" builtinId="8"/>
    <cellStyle name="Normal" xfId="0" builtinId="0"/>
    <cellStyle name="Percent" xfId="5"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'3-Cash Flow Chart'!$B$64</c:f>
          <c:strCache>
            <c:ptCount val="1"/>
            <c:pt idx="0">
              <c:v>MONTHLY CASH FLOW, FOR FISCAL YEAR ENDING-JUN-2019</c:v>
            </c:pt>
          </c:strCache>
        </c:strRef>
      </c:tx>
      <c:overlay val="0"/>
      <c:txPr>
        <a:bodyPr/>
        <a:lstStyle/>
        <a:p>
          <a:pPr>
            <a:defRPr sz="1800"/>
          </a:pPr>
          <a:endParaRPr lang="en-US"/>
        </a:p>
      </c:txPr>
    </c:title>
    <c:autoTitleDeleted val="0"/>
    <c:plotArea>
      <c:layout/>
      <c:areaChart>
        <c:grouping val="standard"/>
        <c:varyColors val="0"/>
        <c:ser>
          <c:idx val="2"/>
          <c:order val="2"/>
          <c:tx>
            <c:strRef>
              <c:f>'3-Cash Flow Chart'!$D$60</c:f>
              <c:strCache>
                <c:ptCount val="1"/>
                <c:pt idx="0">
                  <c:v> Cash Bal-Positive </c:v>
                </c:pt>
              </c:strCache>
            </c:strRef>
          </c:tx>
          <c:spPr>
            <a:solidFill>
              <a:schemeClr val="bg1">
                <a:lumMod val="75000"/>
              </a:schemeClr>
            </a:solidFill>
          </c:spPr>
          <c:cat>
            <c:strRef>
              <c:f>'3-Cash Flow Chart'!$E$41:$AB$41</c:f>
              <c:strCache>
                <c:ptCount val="24"/>
                <c:pt idx="0">
                  <c:v>JUL-2018</c:v>
                </c:pt>
                <c:pt idx="1">
                  <c:v>AUG-2018</c:v>
                </c:pt>
                <c:pt idx="2">
                  <c:v>SEP-2018</c:v>
                </c:pt>
                <c:pt idx="3">
                  <c:v>OCT-2018</c:v>
                </c:pt>
                <c:pt idx="4">
                  <c:v>NOV-2018</c:v>
                </c:pt>
                <c:pt idx="5">
                  <c:v>DEC-2018</c:v>
                </c:pt>
                <c:pt idx="6">
                  <c:v>JAN-2019</c:v>
                </c:pt>
                <c:pt idx="7">
                  <c:v>FEB-2019</c:v>
                </c:pt>
                <c:pt idx="8">
                  <c:v>MAR-2019</c:v>
                </c:pt>
                <c:pt idx="9">
                  <c:v>APR-2019</c:v>
                </c:pt>
                <c:pt idx="10">
                  <c:v>MAY-2019</c:v>
                </c:pt>
                <c:pt idx="11">
                  <c:v>JUN-2019</c:v>
                </c:pt>
                <c:pt idx="12">
                  <c:v>JUL-2019</c:v>
                </c:pt>
                <c:pt idx="13">
                  <c:v>AUG-2019</c:v>
                </c:pt>
                <c:pt idx="14">
                  <c:v>SEP-2019</c:v>
                </c:pt>
                <c:pt idx="15">
                  <c:v>OCT-2019</c:v>
                </c:pt>
                <c:pt idx="16">
                  <c:v>NOV-2019</c:v>
                </c:pt>
                <c:pt idx="17">
                  <c:v>DEC-2019</c:v>
                </c:pt>
                <c:pt idx="18">
                  <c:v>JAN-2020</c:v>
                </c:pt>
                <c:pt idx="19">
                  <c:v>FEB-2020</c:v>
                </c:pt>
                <c:pt idx="20">
                  <c:v>MAR-2020</c:v>
                </c:pt>
                <c:pt idx="21">
                  <c:v>APR-2020</c:v>
                </c:pt>
                <c:pt idx="22">
                  <c:v>MAY-2020</c:v>
                </c:pt>
                <c:pt idx="23">
                  <c:v>JUN-2020</c:v>
                </c:pt>
              </c:strCache>
            </c:strRef>
          </c:cat>
          <c:val>
            <c:numRef>
              <c:f>'3-Cash Flow Chart'!$E$60:$AB$60</c:f>
              <c:numCache>
                <c:formatCode>_(* #,##0_);_(* \(#,##0\);_(* "-"??_);_(@_)</c:formatCode>
                <c:ptCount val="24"/>
                <c:pt idx="0">
                  <c:v>661.44487179487214</c:v>
                </c:pt>
                <c:pt idx="1">
                  <c:v>322.88974358974406</c:v>
                </c:pt>
                <c:pt idx="2">
                  <c:v>0</c:v>
                </c:pt>
                <c:pt idx="3">
                  <c:v>0</c:v>
                </c:pt>
                <c:pt idx="4">
                  <c:v>0</c:v>
                </c:pt>
                <c:pt idx="5">
                  <c:v>2557.7000000000003</c:v>
                </c:pt>
                <c:pt idx="6">
                  <c:v>2326.2448717948723</c:v>
                </c:pt>
                <c:pt idx="7">
                  <c:v>2094.7897435897444</c:v>
                </c:pt>
                <c:pt idx="8">
                  <c:v>1863.3346153846164</c:v>
                </c:pt>
                <c:pt idx="9">
                  <c:v>2702.8794871794885</c:v>
                </c:pt>
                <c:pt idx="10">
                  <c:v>1990.6551282051296</c:v>
                </c:pt>
                <c:pt idx="11">
                  <c:v>1545.0000000000014</c:v>
                </c:pt>
                <c:pt idx="12">
                  <c:v>1205.0939541788564</c:v>
                </c:pt>
                <c:pt idx="13">
                  <c:v>865.18790835771165</c:v>
                </c:pt>
                <c:pt idx="14">
                  <c:v>525.28186253656668</c:v>
                </c:pt>
                <c:pt idx="15">
                  <c:v>0</c:v>
                </c:pt>
                <c:pt idx="16">
                  <c:v>0</c:v>
                </c:pt>
                <c:pt idx="17">
                  <c:v>3247.692242515106</c:v>
                </c:pt>
                <c:pt idx="18">
                  <c:v>3019.1701966939609</c:v>
                </c:pt>
                <c:pt idx="19">
                  <c:v>2790.6481508728157</c:v>
                </c:pt>
                <c:pt idx="20">
                  <c:v>2562.1261050516705</c:v>
                </c:pt>
                <c:pt idx="21">
                  <c:v>3447.4440592305255</c:v>
                </c:pt>
                <c:pt idx="22">
                  <c:v>2728.4585308513533</c:v>
                </c:pt>
                <c:pt idx="23">
                  <c:v>2277.1684850302081</c:v>
                </c:pt>
              </c:numCache>
            </c:numRef>
          </c:val>
          <c:extLst>
            <c:ext xmlns:c16="http://schemas.microsoft.com/office/drawing/2014/chart" uri="{C3380CC4-5D6E-409C-BE32-E72D297353CC}">
              <c16:uniqueId val="{00000000-4CA6-4A93-85F0-F54C5DFFA8C9}"/>
            </c:ext>
          </c:extLst>
        </c:ser>
        <c:ser>
          <c:idx val="3"/>
          <c:order val="3"/>
          <c:tx>
            <c:strRef>
              <c:f>'3-Cash Flow Chart'!$D$61</c:f>
              <c:strCache>
                <c:ptCount val="1"/>
                <c:pt idx="0">
                  <c:v> Cash Bal-Negative </c:v>
                </c:pt>
              </c:strCache>
            </c:strRef>
          </c:tx>
          <c:spPr>
            <a:solidFill>
              <a:srgbClr val="FF0000"/>
            </a:solidFill>
          </c:spPr>
          <c:cat>
            <c:strRef>
              <c:f>'3-Cash Flow Chart'!$E$41:$AB$41</c:f>
              <c:strCache>
                <c:ptCount val="24"/>
                <c:pt idx="0">
                  <c:v>JUL-2018</c:v>
                </c:pt>
                <c:pt idx="1">
                  <c:v>AUG-2018</c:v>
                </c:pt>
                <c:pt idx="2">
                  <c:v>SEP-2018</c:v>
                </c:pt>
                <c:pt idx="3">
                  <c:v>OCT-2018</c:v>
                </c:pt>
                <c:pt idx="4">
                  <c:v>NOV-2018</c:v>
                </c:pt>
                <c:pt idx="5">
                  <c:v>DEC-2018</c:v>
                </c:pt>
                <c:pt idx="6">
                  <c:v>JAN-2019</c:v>
                </c:pt>
                <c:pt idx="7">
                  <c:v>FEB-2019</c:v>
                </c:pt>
                <c:pt idx="8">
                  <c:v>MAR-2019</c:v>
                </c:pt>
                <c:pt idx="9">
                  <c:v>APR-2019</c:v>
                </c:pt>
                <c:pt idx="10">
                  <c:v>MAY-2019</c:v>
                </c:pt>
                <c:pt idx="11">
                  <c:v>JUN-2019</c:v>
                </c:pt>
                <c:pt idx="12">
                  <c:v>JUL-2019</c:v>
                </c:pt>
                <c:pt idx="13">
                  <c:v>AUG-2019</c:v>
                </c:pt>
                <c:pt idx="14">
                  <c:v>SEP-2019</c:v>
                </c:pt>
                <c:pt idx="15">
                  <c:v>OCT-2019</c:v>
                </c:pt>
                <c:pt idx="16">
                  <c:v>NOV-2019</c:v>
                </c:pt>
                <c:pt idx="17">
                  <c:v>DEC-2019</c:v>
                </c:pt>
                <c:pt idx="18">
                  <c:v>JAN-2020</c:v>
                </c:pt>
                <c:pt idx="19">
                  <c:v>FEB-2020</c:v>
                </c:pt>
                <c:pt idx="20">
                  <c:v>MAR-2020</c:v>
                </c:pt>
                <c:pt idx="21">
                  <c:v>APR-2020</c:v>
                </c:pt>
                <c:pt idx="22">
                  <c:v>MAY-2020</c:v>
                </c:pt>
                <c:pt idx="23">
                  <c:v>JUN-2020</c:v>
                </c:pt>
              </c:strCache>
            </c:strRef>
          </c:cat>
          <c:val>
            <c:numRef>
              <c:f>'3-Cash Flow Chart'!$E$61:$AB$61</c:f>
              <c:numCache>
                <c:formatCode>_(* #,##0_);_(* \(#,##0\);_(* "-"??_);_(@_)</c:formatCode>
                <c:ptCount val="24"/>
                <c:pt idx="0">
                  <c:v>0</c:v>
                </c:pt>
                <c:pt idx="1">
                  <c:v>0</c:v>
                </c:pt>
                <c:pt idx="2">
                  <c:v>-15.665384615384028</c:v>
                </c:pt>
                <c:pt idx="3">
                  <c:v>-834.98974358974306</c:v>
                </c:pt>
                <c:pt idx="4">
                  <c:v>-959.34487179487132</c:v>
                </c:pt>
                <c:pt idx="5">
                  <c:v>0</c:v>
                </c:pt>
                <c:pt idx="6">
                  <c:v>0</c:v>
                </c:pt>
                <c:pt idx="7">
                  <c:v>0</c:v>
                </c:pt>
                <c:pt idx="8">
                  <c:v>0</c:v>
                </c:pt>
                <c:pt idx="9">
                  <c:v>0</c:v>
                </c:pt>
                <c:pt idx="10">
                  <c:v>0</c:v>
                </c:pt>
                <c:pt idx="11">
                  <c:v>0</c:v>
                </c:pt>
                <c:pt idx="12">
                  <c:v>0</c:v>
                </c:pt>
                <c:pt idx="13">
                  <c:v>0</c:v>
                </c:pt>
                <c:pt idx="14">
                  <c:v>0</c:v>
                </c:pt>
                <c:pt idx="15">
                  <c:v>-305.08766584260525</c:v>
                </c:pt>
                <c:pt idx="16">
                  <c:v>-422.22571166375019</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4CA6-4A93-85F0-F54C5DFFA8C9}"/>
            </c:ext>
          </c:extLst>
        </c:ser>
        <c:dLbls>
          <c:showLegendKey val="0"/>
          <c:showVal val="0"/>
          <c:showCatName val="0"/>
          <c:showSerName val="0"/>
          <c:showPercent val="0"/>
          <c:showBubbleSize val="0"/>
        </c:dLbls>
        <c:axId val="419184688"/>
        <c:axId val="419179200"/>
      </c:areaChart>
      <c:lineChart>
        <c:grouping val="standard"/>
        <c:varyColors val="0"/>
        <c:ser>
          <c:idx val="0"/>
          <c:order val="0"/>
          <c:tx>
            <c:strRef>
              <c:f>'3-Cash Flow Chart'!$D$51</c:f>
              <c:strCache>
                <c:ptCount val="1"/>
                <c:pt idx="0">
                  <c:v>Inflows</c:v>
                </c:pt>
              </c:strCache>
            </c:strRef>
          </c:tx>
          <c:spPr>
            <a:ln>
              <a:solidFill>
                <a:schemeClr val="tx1"/>
              </a:solidFill>
            </a:ln>
          </c:spPr>
          <c:marker>
            <c:symbol val="none"/>
          </c:marker>
          <c:cat>
            <c:strRef>
              <c:f>'3-Cash Flow Chart'!$E$41:$AB$41</c:f>
              <c:strCache>
                <c:ptCount val="24"/>
                <c:pt idx="0">
                  <c:v>JUL-2018</c:v>
                </c:pt>
                <c:pt idx="1">
                  <c:v>AUG-2018</c:v>
                </c:pt>
                <c:pt idx="2">
                  <c:v>SEP-2018</c:v>
                </c:pt>
                <c:pt idx="3">
                  <c:v>OCT-2018</c:v>
                </c:pt>
                <c:pt idx="4">
                  <c:v>NOV-2018</c:v>
                </c:pt>
                <c:pt idx="5">
                  <c:v>DEC-2018</c:v>
                </c:pt>
                <c:pt idx="6">
                  <c:v>JAN-2019</c:v>
                </c:pt>
                <c:pt idx="7">
                  <c:v>FEB-2019</c:v>
                </c:pt>
                <c:pt idx="8">
                  <c:v>MAR-2019</c:v>
                </c:pt>
                <c:pt idx="9">
                  <c:v>APR-2019</c:v>
                </c:pt>
                <c:pt idx="10">
                  <c:v>MAY-2019</c:v>
                </c:pt>
                <c:pt idx="11">
                  <c:v>JUN-2019</c:v>
                </c:pt>
                <c:pt idx="12">
                  <c:v>JUL-2019</c:v>
                </c:pt>
                <c:pt idx="13">
                  <c:v>AUG-2019</c:v>
                </c:pt>
                <c:pt idx="14">
                  <c:v>SEP-2019</c:v>
                </c:pt>
                <c:pt idx="15">
                  <c:v>OCT-2019</c:v>
                </c:pt>
                <c:pt idx="16">
                  <c:v>NOV-2019</c:v>
                </c:pt>
                <c:pt idx="17">
                  <c:v>DEC-2019</c:v>
                </c:pt>
                <c:pt idx="18">
                  <c:v>JAN-2020</c:v>
                </c:pt>
                <c:pt idx="19">
                  <c:v>FEB-2020</c:v>
                </c:pt>
                <c:pt idx="20">
                  <c:v>MAR-2020</c:v>
                </c:pt>
                <c:pt idx="21">
                  <c:v>APR-2020</c:v>
                </c:pt>
                <c:pt idx="22">
                  <c:v>MAY-2020</c:v>
                </c:pt>
                <c:pt idx="23">
                  <c:v>JUN-2020</c:v>
                </c:pt>
              </c:strCache>
            </c:strRef>
          </c:cat>
          <c:val>
            <c:numRef>
              <c:f>'3-Cash Flow Chart'!$E$51:$AB$51</c:f>
              <c:numCache>
                <c:formatCode>_(* #,##0_);_(* \(#,##0\);_(* "-"??_);_(@_)</c:formatCode>
                <c:ptCount val="24"/>
                <c:pt idx="0">
                  <c:v>1137.9833333333333</c:v>
                </c:pt>
                <c:pt idx="1">
                  <c:v>1137.9833333333333</c:v>
                </c:pt>
                <c:pt idx="2">
                  <c:v>1137.9833333333333</c:v>
                </c:pt>
                <c:pt idx="3">
                  <c:v>1137.9833333333333</c:v>
                </c:pt>
                <c:pt idx="4">
                  <c:v>1352.1833333333332</c:v>
                </c:pt>
                <c:pt idx="5">
                  <c:v>4993.583333333333</c:v>
                </c:pt>
                <c:pt idx="6">
                  <c:v>1245.0833333333335</c:v>
                </c:pt>
                <c:pt idx="7">
                  <c:v>1245.0833333333335</c:v>
                </c:pt>
                <c:pt idx="8">
                  <c:v>1245.0833333333335</c:v>
                </c:pt>
                <c:pt idx="9">
                  <c:v>2316.0833333333335</c:v>
                </c:pt>
                <c:pt idx="10">
                  <c:v>1245.0833333333335</c:v>
                </c:pt>
                <c:pt idx="11">
                  <c:v>1030.8833333333334</c:v>
                </c:pt>
                <c:pt idx="12">
                  <c:v>1166.3417487943207</c:v>
                </c:pt>
                <c:pt idx="13">
                  <c:v>1166.3417487943207</c:v>
                </c:pt>
                <c:pt idx="14">
                  <c:v>1166.3417487943207</c:v>
                </c:pt>
                <c:pt idx="15">
                  <c:v>1166.3417487943207</c:v>
                </c:pt>
                <c:pt idx="16">
                  <c:v>1389.1097487943207</c:v>
                </c:pt>
                <c:pt idx="17">
                  <c:v>5176.1657487943221</c:v>
                </c:pt>
                <c:pt idx="18">
                  <c:v>1277.7257487943209</c:v>
                </c:pt>
                <c:pt idx="19">
                  <c:v>1277.7257487943209</c:v>
                </c:pt>
                <c:pt idx="20">
                  <c:v>1277.7257487943209</c:v>
                </c:pt>
                <c:pt idx="21">
                  <c:v>2391.5657487943208</c:v>
                </c:pt>
                <c:pt idx="22">
                  <c:v>1277.7257487943209</c:v>
                </c:pt>
                <c:pt idx="23">
                  <c:v>1054.9577487943207</c:v>
                </c:pt>
              </c:numCache>
            </c:numRef>
          </c:val>
          <c:smooth val="0"/>
          <c:extLst>
            <c:ext xmlns:c16="http://schemas.microsoft.com/office/drawing/2014/chart" uri="{C3380CC4-5D6E-409C-BE32-E72D297353CC}">
              <c16:uniqueId val="{00000002-4CA6-4A93-85F0-F54C5DFFA8C9}"/>
            </c:ext>
          </c:extLst>
        </c:ser>
        <c:ser>
          <c:idx val="1"/>
          <c:order val="1"/>
          <c:tx>
            <c:strRef>
              <c:f>'3-Cash Flow Chart'!$D$59</c:f>
              <c:strCache>
                <c:ptCount val="1"/>
                <c:pt idx="0">
                  <c:v>Outflows</c:v>
                </c:pt>
              </c:strCache>
            </c:strRef>
          </c:tx>
          <c:spPr>
            <a:ln w="34925">
              <a:solidFill>
                <a:srgbClr val="FF0000"/>
              </a:solidFill>
              <a:prstDash val="dash"/>
            </a:ln>
          </c:spPr>
          <c:marker>
            <c:symbol val="none"/>
          </c:marker>
          <c:cat>
            <c:strRef>
              <c:f>'3-Cash Flow Chart'!$E$41:$AB$41</c:f>
              <c:strCache>
                <c:ptCount val="24"/>
                <c:pt idx="0">
                  <c:v>JUL-2018</c:v>
                </c:pt>
                <c:pt idx="1">
                  <c:v>AUG-2018</c:v>
                </c:pt>
                <c:pt idx="2">
                  <c:v>SEP-2018</c:v>
                </c:pt>
                <c:pt idx="3">
                  <c:v>OCT-2018</c:v>
                </c:pt>
                <c:pt idx="4">
                  <c:v>NOV-2018</c:v>
                </c:pt>
                <c:pt idx="5">
                  <c:v>DEC-2018</c:v>
                </c:pt>
                <c:pt idx="6">
                  <c:v>JAN-2019</c:v>
                </c:pt>
                <c:pt idx="7">
                  <c:v>FEB-2019</c:v>
                </c:pt>
                <c:pt idx="8">
                  <c:v>MAR-2019</c:v>
                </c:pt>
                <c:pt idx="9">
                  <c:v>APR-2019</c:v>
                </c:pt>
                <c:pt idx="10">
                  <c:v>MAY-2019</c:v>
                </c:pt>
                <c:pt idx="11">
                  <c:v>JUN-2019</c:v>
                </c:pt>
                <c:pt idx="12">
                  <c:v>JUL-2019</c:v>
                </c:pt>
                <c:pt idx="13">
                  <c:v>AUG-2019</c:v>
                </c:pt>
                <c:pt idx="14">
                  <c:v>SEP-2019</c:v>
                </c:pt>
                <c:pt idx="15">
                  <c:v>OCT-2019</c:v>
                </c:pt>
                <c:pt idx="16">
                  <c:v>NOV-2019</c:v>
                </c:pt>
                <c:pt idx="17">
                  <c:v>DEC-2019</c:v>
                </c:pt>
                <c:pt idx="18">
                  <c:v>JAN-2020</c:v>
                </c:pt>
                <c:pt idx="19">
                  <c:v>FEB-2020</c:v>
                </c:pt>
                <c:pt idx="20">
                  <c:v>MAR-2020</c:v>
                </c:pt>
                <c:pt idx="21">
                  <c:v>APR-2020</c:v>
                </c:pt>
                <c:pt idx="22">
                  <c:v>MAY-2020</c:v>
                </c:pt>
                <c:pt idx="23">
                  <c:v>JUN-2020</c:v>
                </c:pt>
              </c:strCache>
            </c:strRef>
          </c:cat>
          <c:val>
            <c:numRef>
              <c:f>'3-Cash Flow Chart'!$E$59:$AB$59</c:f>
              <c:numCache>
                <c:formatCode>_(* #,##0_);_(* \(#,##0\);_(* "-"??_);_(@_)</c:formatCode>
                <c:ptCount val="24"/>
                <c:pt idx="0">
                  <c:v>1476.5384615384614</c:v>
                </c:pt>
                <c:pt idx="1">
                  <c:v>1476.5384615384614</c:v>
                </c:pt>
                <c:pt idx="2">
                  <c:v>1476.5384615384614</c:v>
                </c:pt>
                <c:pt idx="3">
                  <c:v>1957.3076923076924</c:v>
                </c:pt>
                <c:pt idx="4">
                  <c:v>1476.5384615384614</c:v>
                </c:pt>
                <c:pt idx="5">
                  <c:v>1476.5384615384614</c:v>
                </c:pt>
                <c:pt idx="6">
                  <c:v>1476.5384615384614</c:v>
                </c:pt>
                <c:pt idx="7">
                  <c:v>1476.5384615384614</c:v>
                </c:pt>
                <c:pt idx="8">
                  <c:v>1476.5384615384614</c:v>
                </c:pt>
                <c:pt idx="9">
                  <c:v>1476.5384615384614</c:v>
                </c:pt>
                <c:pt idx="10">
                  <c:v>1957.3076923076924</c:v>
                </c:pt>
                <c:pt idx="11">
                  <c:v>1476.5384615384614</c:v>
                </c:pt>
                <c:pt idx="12">
                  <c:v>1506.2477946154656</c:v>
                </c:pt>
                <c:pt idx="13">
                  <c:v>1506.2477946154656</c:v>
                </c:pt>
                <c:pt idx="14">
                  <c:v>1506.2477946154656</c:v>
                </c:pt>
                <c:pt idx="15">
                  <c:v>1996.7112771734926</c:v>
                </c:pt>
                <c:pt idx="16">
                  <c:v>1506.2477946154656</c:v>
                </c:pt>
                <c:pt idx="17">
                  <c:v>1506.2477946154656</c:v>
                </c:pt>
                <c:pt idx="18">
                  <c:v>1506.2477946154656</c:v>
                </c:pt>
                <c:pt idx="19">
                  <c:v>1506.2477946154656</c:v>
                </c:pt>
                <c:pt idx="20">
                  <c:v>1506.2477946154656</c:v>
                </c:pt>
                <c:pt idx="21">
                  <c:v>1506.2477946154656</c:v>
                </c:pt>
                <c:pt idx="22">
                  <c:v>1996.7112771734926</c:v>
                </c:pt>
                <c:pt idx="23">
                  <c:v>1506.2477946154656</c:v>
                </c:pt>
              </c:numCache>
            </c:numRef>
          </c:val>
          <c:smooth val="0"/>
          <c:extLst>
            <c:ext xmlns:c16="http://schemas.microsoft.com/office/drawing/2014/chart" uri="{C3380CC4-5D6E-409C-BE32-E72D297353CC}">
              <c16:uniqueId val="{00000003-4CA6-4A93-85F0-F54C5DFFA8C9}"/>
            </c:ext>
          </c:extLst>
        </c:ser>
        <c:dLbls>
          <c:showLegendKey val="0"/>
          <c:showVal val="0"/>
          <c:showCatName val="0"/>
          <c:showSerName val="0"/>
          <c:showPercent val="0"/>
          <c:showBubbleSize val="0"/>
        </c:dLbls>
        <c:marker val="1"/>
        <c:smooth val="0"/>
        <c:axId val="419184688"/>
        <c:axId val="419179200"/>
      </c:lineChart>
      <c:catAx>
        <c:axId val="419184688"/>
        <c:scaling>
          <c:orientation val="minMax"/>
        </c:scaling>
        <c:delete val="0"/>
        <c:axPos val="b"/>
        <c:majorGridlines/>
        <c:numFmt formatCode="General" sourceLinked="0"/>
        <c:majorTickMark val="none"/>
        <c:minorTickMark val="none"/>
        <c:tickLblPos val="nextTo"/>
        <c:crossAx val="419179200"/>
        <c:crosses val="autoZero"/>
        <c:auto val="1"/>
        <c:lblAlgn val="ctr"/>
        <c:lblOffset val="100"/>
        <c:noMultiLvlLbl val="0"/>
      </c:catAx>
      <c:valAx>
        <c:axId val="419179200"/>
        <c:scaling>
          <c:orientation val="minMax"/>
        </c:scaling>
        <c:delete val="0"/>
        <c:axPos val="l"/>
        <c:majorGridlines/>
        <c:title>
          <c:tx>
            <c:rich>
              <a:bodyPr/>
              <a:lstStyle/>
              <a:p>
                <a:pPr>
                  <a:defRPr sz="1800"/>
                </a:pPr>
                <a:r>
                  <a:rPr lang="en-US" sz="1800"/>
                  <a:t>$ THOUSANDS</a:t>
                </a:r>
              </a:p>
            </c:rich>
          </c:tx>
          <c:overlay val="0"/>
        </c:title>
        <c:numFmt formatCode="&quot;$&quot;#,##0" sourceLinked="0"/>
        <c:majorTickMark val="none"/>
        <c:minorTickMark val="none"/>
        <c:tickLblPos val="nextTo"/>
        <c:txPr>
          <a:bodyPr/>
          <a:lstStyle/>
          <a:p>
            <a:pPr>
              <a:defRPr sz="1600"/>
            </a:pPr>
            <a:endParaRPr lang="en-US"/>
          </a:p>
        </c:txPr>
        <c:crossAx val="419184688"/>
        <c:crosses val="autoZero"/>
        <c:crossBetween val="between"/>
      </c:valAx>
      <c:dTable>
        <c:showHorzBorder val="1"/>
        <c:showVertBorder val="1"/>
        <c:showOutline val="1"/>
        <c:showKeys val="1"/>
        <c:txPr>
          <a:bodyPr/>
          <a:lstStyle/>
          <a:p>
            <a:pPr rtl="0">
              <a:defRPr sz="1000"/>
            </a:pPr>
            <a:endParaRPr lang="en-US"/>
          </a:p>
        </c:txPr>
      </c:dTable>
      <c:spPr>
        <a:solidFill>
          <a:schemeClr val="bg1">
            <a:lumMod val="95000"/>
          </a:schemeClr>
        </a:solidFill>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sz="1200" b="1">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133350</xdr:colOff>
      <xdr:row>4</xdr:row>
      <xdr:rowOff>47625</xdr:rowOff>
    </xdr:from>
    <xdr:to>
      <xdr:col>27</xdr:col>
      <xdr:colOff>542925</xdr:colOff>
      <xdr:row>38</xdr:row>
      <xdr:rowOff>161925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Desktop\MuniCast\Pittsburgh%20PA\MuniCast-Pittsburgh%20PA-WIP053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Instructions"/>
      <sheetName val="2-Chart Gallery"/>
      <sheetName val="3-Summary"/>
      <sheetName val="4a-Monthly Charts"/>
      <sheetName val="4c-AcctType Summary"/>
      <sheetName val="4d-DeptGroup Summary"/>
      <sheetName val="5-Sensitivity Analysis"/>
      <sheetName val="6-Scenario Options"/>
      <sheetName val="7-Forecast Assumptions"/>
      <sheetName val="8-Statistical Analysis"/>
      <sheetName val="9-Trend Analysis-Acct Type"/>
      <sheetName val="10-Trend Analysis-Dept"/>
      <sheetName val="11-Revs-Exps-Transfers"/>
      <sheetName val="12-Fund Balances"/>
      <sheetName val="13-Capital Improvements"/>
      <sheetName val="14-Debt Service"/>
      <sheetName val="15-FTE Personnel"/>
      <sheetName val="16-Account Master"/>
    </sheetNames>
    <sheetDataSet>
      <sheetData sheetId="0"/>
      <sheetData sheetId="1" refreshError="1"/>
      <sheetData sheetId="2">
        <row r="99">
          <cell r="D99">
            <v>92.112166999999999</v>
          </cell>
        </row>
        <row r="100">
          <cell r="D100">
            <v>0.20631732255264115</v>
          </cell>
        </row>
        <row r="113">
          <cell r="D113">
            <v>462.56351464000016</v>
          </cell>
        </row>
        <row r="114">
          <cell r="D114">
            <v>446.45871640999945</v>
          </cell>
        </row>
        <row r="124">
          <cell r="D124">
            <v>132.37083142999998</v>
          </cell>
        </row>
        <row r="125">
          <cell r="D125" t="e">
            <v>#DIV/0!</v>
          </cell>
        </row>
        <row r="135">
          <cell r="D135">
            <v>70.753709010000009</v>
          </cell>
        </row>
        <row r="136">
          <cell r="D136" t="e">
            <v>#DIV/0!</v>
          </cell>
        </row>
        <row r="146">
          <cell r="D146">
            <v>52.152917710000004</v>
          </cell>
        </row>
        <row r="147">
          <cell r="D147" t="e">
            <v>#DIV/0!</v>
          </cell>
        </row>
        <row r="157">
          <cell r="D157">
            <v>47.843680949999992</v>
          </cell>
        </row>
        <row r="158">
          <cell r="D158" t="e">
            <v>#DIV/0!</v>
          </cell>
        </row>
        <row r="168">
          <cell r="D168">
            <v>180.48025052</v>
          </cell>
        </row>
        <row r="169">
          <cell r="D169">
            <v>0.40424846438490936</v>
          </cell>
        </row>
        <row r="179">
          <cell r="D179">
            <v>139.07869349999993</v>
          </cell>
        </row>
        <row r="180">
          <cell r="D180">
            <v>0.31151523844878604</v>
          </cell>
        </row>
      </sheetData>
      <sheetData sheetId="3" refreshError="1"/>
      <sheetData sheetId="4">
        <row r="766">
          <cell r="B766" t="str">
            <v>JANUARY</v>
          </cell>
        </row>
      </sheetData>
      <sheetData sheetId="5" refreshError="1"/>
      <sheetData sheetId="6" refreshError="1"/>
      <sheetData sheetId="7">
        <row r="83">
          <cell r="E83">
            <v>462563.51464000018</v>
          </cell>
        </row>
        <row r="84">
          <cell r="E84">
            <v>462563.51464000018</v>
          </cell>
        </row>
        <row r="85">
          <cell r="E85">
            <v>446458.71640999941</v>
          </cell>
        </row>
        <row r="86">
          <cell r="E86">
            <v>446458.71640999941</v>
          </cell>
        </row>
        <row r="89">
          <cell r="E89">
            <v>446458.71640999941</v>
          </cell>
        </row>
        <row r="90">
          <cell r="E90">
            <v>16104.798230000772</v>
          </cell>
        </row>
        <row r="104">
          <cell r="E104">
            <v>92112.167000000001</v>
          </cell>
        </row>
        <row r="105">
          <cell r="E105">
            <v>0</v>
          </cell>
        </row>
        <row r="106">
          <cell r="E106">
            <v>92112.167000000001</v>
          </cell>
        </row>
      </sheetData>
      <sheetData sheetId="8" refreshError="1"/>
      <sheetData sheetId="9">
        <row r="59">
          <cell r="B59" t="str">
            <v>ACCTTYPE</v>
          </cell>
        </row>
      </sheetData>
      <sheetData sheetId="10">
        <row r="7">
          <cell r="I7" t="str">
            <v>INDICATOR</v>
          </cell>
        </row>
      </sheetData>
      <sheetData sheetId="11">
        <row r="61">
          <cell r="D61">
            <v>47.843680949999992</v>
          </cell>
        </row>
        <row r="64">
          <cell r="D64">
            <v>47.843680949999992</v>
          </cell>
        </row>
        <row r="65">
          <cell r="D65">
            <v>47.843680949999992</v>
          </cell>
        </row>
        <row r="68">
          <cell r="D68">
            <v>0</v>
          </cell>
        </row>
        <row r="71">
          <cell r="D71">
            <v>156.25538784868169</v>
          </cell>
        </row>
        <row r="72">
          <cell r="D72">
            <v>156.25538784868169</v>
          </cell>
        </row>
      </sheetData>
      <sheetData sheetId="12">
        <row r="61">
          <cell r="D61">
            <v>0</v>
          </cell>
        </row>
        <row r="62">
          <cell r="D62">
            <v>4132.5986300000013</v>
          </cell>
        </row>
        <row r="65">
          <cell r="D65">
            <v>4132.5986300000013</v>
          </cell>
        </row>
        <row r="66">
          <cell r="D66">
            <v>4132.5986300000013</v>
          </cell>
        </row>
        <row r="69">
          <cell r="D69">
            <v>0</v>
          </cell>
        </row>
        <row r="72">
          <cell r="D72">
            <v>4132.5986300000013</v>
          </cell>
        </row>
        <row r="73">
          <cell r="D73">
            <v>1</v>
          </cell>
        </row>
      </sheetData>
      <sheetData sheetId="13">
        <row r="2">
          <cell r="H2" t="str">
            <v>MANUAL (TABLE A)</v>
          </cell>
        </row>
      </sheetData>
      <sheetData sheetId="14" refreshError="1"/>
      <sheetData sheetId="15" refreshError="1"/>
      <sheetData sheetId="16" refreshError="1"/>
      <sheetData sheetId="17" refreshError="1"/>
      <sheetData sheetId="18">
        <row r="6">
          <cell r="D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as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28"/>
  <sheetViews>
    <sheetView showGridLines="0" tabSelected="1" workbookViewId="0">
      <pane ySplit="1" topLeftCell="A27" activePane="bottomLeft" state="frozen"/>
      <selection pane="bottomLeft" activeCell="B2" sqref="B2"/>
    </sheetView>
  </sheetViews>
  <sheetFormatPr defaultColWidth="8.85546875" defaultRowHeight="15" x14ac:dyDescent="0.2"/>
  <cols>
    <col min="1" max="1" width="3" style="79" customWidth="1"/>
    <col min="2" max="2" width="147.28515625" style="82" customWidth="1"/>
    <col min="3" max="16384" width="8.85546875" style="79"/>
  </cols>
  <sheetData>
    <row r="1" spans="2:2" ht="15.75" x14ac:dyDescent="0.2">
      <c r="B1" s="83" t="s">
        <v>107</v>
      </c>
    </row>
    <row r="2" spans="2:2" ht="15.75" x14ac:dyDescent="0.2">
      <c r="B2" s="78"/>
    </row>
    <row r="3" spans="2:2" ht="90" x14ac:dyDescent="0.2">
      <c r="B3" s="99" t="s">
        <v>172</v>
      </c>
    </row>
    <row r="4" spans="2:2" x14ac:dyDescent="0.2">
      <c r="B4" s="99"/>
    </row>
    <row r="5" spans="2:2" ht="45" x14ac:dyDescent="0.2">
      <c r="B5" s="100" t="s">
        <v>175</v>
      </c>
    </row>
    <row r="6" spans="2:2" x14ac:dyDescent="0.2">
      <c r="B6" s="100"/>
    </row>
    <row r="7" spans="2:2" x14ac:dyDescent="0.2">
      <c r="B7" s="99" t="s">
        <v>108</v>
      </c>
    </row>
    <row r="8" spans="2:2" x14ac:dyDescent="0.2">
      <c r="B8" s="80"/>
    </row>
    <row r="9" spans="2:2" x14ac:dyDescent="0.2">
      <c r="B9" s="81" t="s">
        <v>109</v>
      </c>
    </row>
    <row r="10" spans="2:2" x14ac:dyDescent="0.2">
      <c r="B10" s="80" t="s">
        <v>166</v>
      </c>
    </row>
    <row r="11" spans="2:2" x14ac:dyDescent="0.2">
      <c r="B11" s="80"/>
    </row>
    <row r="12" spans="2:2" x14ac:dyDescent="0.2">
      <c r="B12" s="81" t="s">
        <v>165</v>
      </c>
    </row>
    <row r="13" spans="2:2" x14ac:dyDescent="0.2">
      <c r="B13" s="81"/>
    </row>
    <row r="14" spans="2:2" x14ac:dyDescent="0.2">
      <c r="B14" s="81" t="s">
        <v>167</v>
      </c>
    </row>
    <row r="15" spans="2:2" x14ac:dyDescent="0.2">
      <c r="B15" s="81"/>
    </row>
    <row r="16" spans="2:2" ht="30" x14ac:dyDescent="0.2">
      <c r="B16" s="81" t="s">
        <v>168</v>
      </c>
    </row>
    <row r="17" spans="2:2" x14ac:dyDescent="0.2">
      <c r="B17" s="81"/>
    </row>
    <row r="18" spans="2:2" ht="45" x14ac:dyDescent="0.2">
      <c r="B18" s="81" t="s">
        <v>169</v>
      </c>
    </row>
    <row r="19" spans="2:2" x14ac:dyDescent="0.2">
      <c r="B19" s="81"/>
    </row>
    <row r="20" spans="2:2" ht="30" x14ac:dyDescent="0.2">
      <c r="B20" s="81" t="s">
        <v>170</v>
      </c>
    </row>
    <row r="21" spans="2:2" x14ac:dyDescent="0.2">
      <c r="B21" s="81"/>
    </row>
    <row r="22" spans="2:2" x14ac:dyDescent="0.2">
      <c r="B22" s="81" t="s">
        <v>110</v>
      </c>
    </row>
    <row r="23" spans="2:2" ht="30" x14ac:dyDescent="0.2">
      <c r="B23" s="80" t="s">
        <v>171</v>
      </c>
    </row>
    <row r="24" spans="2:2" x14ac:dyDescent="0.2">
      <c r="B24" s="80"/>
    </row>
    <row r="25" spans="2:2" ht="15.75" x14ac:dyDescent="0.2">
      <c r="B25" s="78" t="s">
        <v>112</v>
      </c>
    </row>
    <row r="26" spans="2:2" ht="30" x14ac:dyDescent="0.2">
      <c r="B26" s="80" t="s">
        <v>176</v>
      </c>
    </row>
    <row r="28" spans="2:2" x14ac:dyDescent="0.2">
      <c r="B28" s="84" t="s">
        <v>174</v>
      </c>
    </row>
  </sheetData>
  <sheetProtection algorithmName="SHA-512" hashValue="xPvaZ/iC8LeWuo9mDaHsuXG6JO4wCTrzmTV2A2pql+ocFxexvz4FjWG19BryhIMmLahqu8cQBO8eSfQS2sIVRg==" saltValue="Egp8AtSr1UvfsxVXTdt4Sw==" spinCount="100000" sheet="1" objects="1" scenarios="1"/>
  <hyperlinks>
    <hyperlink ref="B5" r:id="rId1" display="http://www.municast.com/" xr:uid="{00000000-0004-0000-0000-000000000000}"/>
  </hyperlinks>
  <pageMargins left="0.7" right="0.7" top="0.75" bottom="0.75" header="0.3" footer="0.3"/>
  <pageSetup scale="81" orientation="landscape" r:id="rId2"/>
  <headerFooter>
    <oddHeader>&amp;F</oddHeader>
    <oddFooter>&amp;C&amp;A&amp;R&amp;N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19"/>
  <sheetViews>
    <sheetView workbookViewId="0">
      <pane ySplit="3" topLeftCell="A4" activePane="bottomLeft" state="frozen"/>
      <selection pane="bottomLeft" activeCell="C1" sqref="C1"/>
    </sheetView>
  </sheetViews>
  <sheetFormatPr defaultColWidth="8.85546875" defaultRowHeight="15" x14ac:dyDescent="0.25"/>
  <cols>
    <col min="1" max="1" width="34.85546875" style="5" customWidth="1"/>
    <col min="2" max="14" width="11.7109375" style="5" customWidth="1"/>
    <col min="15" max="16384" width="8.85546875" style="5"/>
  </cols>
  <sheetData>
    <row r="1" spans="1:14" ht="16.5" thickBot="1" x14ac:dyDescent="0.3">
      <c r="A1" s="41" t="s">
        <v>5</v>
      </c>
      <c r="B1" s="93" t="s">
        <v>153</v>
      </c>
    </row>
    <row r="2" spans="1:14" ht="15.75" thickBot="1" x14ac:dyDescent="0.3">
      <c r="A2" s="12" t="s">
        <v>116</v>
      </c>
      <c r="B2" s="91" t="s">
        <v>134</v>
      </c>
    </row>
    <row r="3" spans="1:14" x14ac:dyDescent="0.25">
      <c r="A3" s="11" t="s">
        <v>26</v>
      </c>
      <c r="B3" s="11"/>
      <c r="D3" s="42" t="s">
        <v>25</v>
      </c>
      <c r="E3" s="42"/>
      <c r="F3" s="42"/>
      <c r="G3" s="42"/>
    </row>
    <row r="5" spans="1:14" x14ac:dyDescent="0.25">
      <c r="A5" s="42" t="s">
        <v>113</v>
      </c>
      <c r="B5" s="42"/>
      <c r="C5" s="50"/>
      <c r="D5" s="50"/>
    </row>
    <row r="6" spans="1:14" x14ac:dyDescent="0.25">
      <c r="A6" s="43"/>
      <c r="B6" s="44" t="str">
        <f>CONCATENATE("TOTAL-",(RIGHT(B$52,4)-1))</f>
        <v>TOTAL-2018</v>
      </c>
      <c r="C6" s="44" t="str">
        <f>CONCATENATE(LEFT(C$52,4),(RIGHT(C$52,4)-1))</f>
        <v>JUL-2017</v>
      </c>
      <c r="D6" s="44" t="str">
        <f t="shared" ref="D6:N6" si="0">CONCATENATE(LEFT(D$52,4),(RIGHT(D$52,4)-1))</f>
        <v>AUG-2017</v>
      </c>
      <c r="E6" s="44" t="str">
        <f t="shared" si="0"/>
        <v>SEP-2017</v>
      </c>
      <c r="F6" s="44" t="str">
        <f t="shared" si="0"/>
        <v>OCT-2017</v>
      </c>
      <c r="G6" s="44" t="str">
        <f t="shared" si="0"/>
        <v>NOV-2017</v>
      </c>
      <c r="H6" s="44" t="str">
        <f t="shared" si="0"/>
        <v>DEC-2017</v>
      </c>
      <c r="I6" s="44" t="str">
        <f t="shared" si="0"/>
        <v>JAN-2018</v>
      </c>
      <c r="J6" s="44" t="str">
        <f t="shared" si="0"/>
        <v>FEB-2018</v>
      </c>
      <c r="K6" s="44" t="str">
        <f t="shared" si="0"/>
        <v>MAR-2018</v>
      </c>
      <c r="L6" s="44" t="str">
        <f t="shared" si="0"/>
        <v>APR-2018</v>
      </c>
      <c r="M6" s="44" t="str">
        <f t="shared" si="0"/>
        <v>MAY-2018</v>
      </c>
      <c r="N6" s="44" t="str">
        <f t="shared" si="0"/>
        <v>JUN-2018</v>
      </c>
    </row>
    <row r="7" spans="1:14" x14ac:dyDescent="0.25">
      <c r="A7" s="11" t="s">
        <v>18</v>
      </c>
      <c r="B7" s="11"/>
    </row>
    <row r="8" spans="1:14" x14ac:dyDescent="0.25">
      <c r="A8" s="90" t="s">
        <v>6</v>
      </c>
      <c r="B8" s="9">
        <f>SUM(C8:N8)</f>
        <v>10500456</v>
      </c>
      <c r="C8" s="56">
        <v>420018.24</v>
      </c>
      <c r="D8" s="56">
        <v>420018.24</v>
      </c>
      <c r="E8" s="56">
        <v>420018.24</v>
      </c>
      <c r="F8" s="56">
        <v>420018.24</v>
      </c>
      <c r="G8" s="56">
        <v>630027.36</v>
      </c>
      <c r="H8" s="56">
        <v>4200182.4000000004</v>
      </c>
      <c r="I8" s="56">
        <v>525022.80000000005</v>
      </c>
      <c r="J8" s="56">
        <v>525022.80000000005</v>
      </c>
      <c r="K8" s="56">
        <v>525022.80000000005</v>
      </c>
      <c r="L8" s="56">
        <v>1575068.4</v>
      </c>
      <c r="M8" s="56">
        <v>525022.80000000005</v>
      </c>
      <c r="N8" s="56">
        <v>315013.68</v>
      </c>
    </row>
    <row r="9" spans="1:14" x14ac:dyDescent="0.25">
      <c r="A9" s="90" t="s">
        <v>7</v>
      </c>
      <c r="B9" s="9">
        <f t="shared" ref="B9:B16" si="1">SUM(C9:N9)</f>
        <v>3500575.9999999995</v>
      </c>
      <c r="C9" s="56">
        <v>291714.66666666669</v>
      </c>
      <c r="D9" s="56">
        <v>291714.66666666669</v>
      </c>
      <c r="E9" s="56">
        <v>291714.66666666669</v>
      </c>
      <c r="F9" s="56">
        <v>291714.66666666669</v>
      </c>
      <c r="G9" s="56">
        <v>291714.66666666669</v>
      </c>
      <c r="H9" s="56">
        <v>291714.66666666669</v>
      </c>
      <c r="I9" s="56">
        <v>291714.66666666669</v>
      </c>
      <c r="J9" s="56">
        <v>291714.66666666669</v>
      </c>
      <c r="K9" s="56">
        <v>291714.66666666669</v>
      </c>
      <c r="L9" s="56">
        <v>291714.66666666669</v>
      </c>
      <c r="M9" s="56">
        <v>291714.66666666669</v>
      </c>
      <c r="N9" s="56">
        <v>291714.66666666669</v>
      </c>
    </row>
    <row r="10" spans="1:14" x14ac:dyDescent="0.25">
      <c r="A10" s="90" t="s">
        <v>10</v>
      </c>
      <c r="B10" s="9">
        <f t="shared" si="1"/>
        <v>1254699</v>
      </c>
      <c r="C10" s="56">
        <v>104558.25</v>
      </c>
      <c r="D10" s="56">
        <v>104558.25</v>
      </c>
      <c r="E10" s="56">
        <v>104558.25</v>
      </c>
      <c r="F10" s="56">
        <v>104558.25</v>
      </c>
      <c r="G10" s="56">
        <v>104558.25</v>
      </c>
      <c r="H10" s="56">
        <v>104558.25</v>
      </c>
      <c r="I10" s="56">
        <v>104558.25</v>
      </c>
      <c r="J10" s="56">
        <v>104558.25</v>
      </c>
      <c r="K10" s="56">
        <v>104558.25</v>
      </c>
      <c r="L10" s="56">
        <v>104558.25</v>
      </c>
      <c r="M10" s="56">
        <v>104558.25</v>
      </c>
      <c r="N10" s="56">
        <v>104558.25</v>
      </c>
    </row>
    <row r="11" spans="1:14" x14ac:dyDescent="0.25">
      <c r="A11" s="90" t="s">
        <v>11</v>
      </c>
      <c r="B11" s="9">
        <f t="shared" si="1"/>
        <v>3500233.9999999995</v>
      </c>
      <c r="C11" s="56">
        <v>291686.16666666669</v>
      </c>
      <c r="D11" s="56">
        <v>291686.16666666669</v>
      </c>
      <c r="E11" s="56">
        <v>291686.16666666669</v>
      </c>
      <c r="F11" s="56">
        <v>291686.16666666669</v>
      </c>
      <c r="G11" s="56">
        <v>291686.16666666669</v>
      </c>
      <c r="H11" s="56">
        <v>291686.16666666669</v>
      </c>
      <c r="I11" s="56">
        <v>291686.16666666669</v>
      </c>
      <c r="J11" s="56">
        <v>291686.16666666669</v>
      </c>
      <c r="K11" s="56">
        <v>291686.16666666669</v>
      </c>
      <c r="L11" s="56">
        <v>291686.16666666669</v>
      </c>
      <c r="M11" s="56">
        <v>291686.16666666669</v>
      </c>
      <c r="N11" s="56">
        <v>291686.16666666669</v>
      </c>
    </row>
    <row r="12" spans="1:14" x14ac:dyDescent="0.25">
      <c r="A12" s="90" t="s">
        <v>12</v>
      </c>
      <c r="B12" s="9">
        <f t="shared" si="1"/>
        <v>54789</v>
      </c>
      <c r="C12" s="56">
        <v>4565.75</v>
      </c>
      <c r="D12" s="56">
        <v>4565.75</v>
      </c>
      <c r="E12" s="56">
        <v>4565.75</v>
      </c>
      <c r="F12" s="56">
        <v>4565.75</v>
      </c>
      <c r="G12" s="56">
        <v>4565.75</v>
      </c>
      <c r="H12" s="56">
        <v>4565.75</v>
      </c>
      <c r="I12" s="56">
        <v>4565.75</v>
      </c>
      <c r="J12" s="56">
        <v>4565.75</v>
      </c>
      <c r="K12" s="56">
        <v>4565.75</v>
      </c>
      <c r="L12" s="56">
        <v>4565.75</v>
      </c>
      <c r="M12" s="56">
        <v>4565.75</v>
      </c>
      <c r="N12" s="56">
        <v>4565.75</v>
      </c>
    </row>
    <row r="13" spans="1:14" x14ac:dyDescent="0.25">
      <c r="A13" s="90" t="s">
        <v>8</v>
      </c>
      <c r="B13" s="9">
        <f t="shared" si="1"/>
        <v>25890</v>
      </c>
      <c r="C13" s="56">
        <v>2157.5</v>
      </c>
      <c r="D13" s="56">
        <v>2157.5</v>
      </c>
      <c r="E13" s="56">
        <v>2157.5</v>
      </c>
      <c r="F13" s="56">
        <v>2157.5</v>
      </c>
      <c r="G13" s="56">
        <v>2157.5</v>
      </c>
      <c r="H13" s="56">
        <v>2157.5</v>
      </c>
      <c r="I13" s="56">
        <v>2157.5</v>
      </c>
      <c r="J13" s="56">
        <v>2157.5</v>
      </c>
      <c r="K13" s="56">
        <v>2157.5</v>
      </c>
      <c r="L13" s="56">
        <v>2157.5</v>
      </c>
      <c r="M13" s="56">
        <v>2157.5</v>
      </c>
      <c r="N13" s="56">
        <v>2157.5</v>
      </c>
    </row>
    <row r="14" spans="1:14" x14ac:dyDescent="0.25">
      <c r="A14" s="90" t="s">
        <v>9</v>
      </c>
      <c r="B14" s="9">
        <f t="shared" ref="B14:B15" si="2">SUM(C14:N14)</f>
        <v>12321</v>
      </c>
      <c r="C14" s="56">
        <v>1026.75</v>
      </c>
      <c r="D14" s="56">
        <v>1026.75</v>
      </c>
      <c r="E14" s="56">
        <v>1026.75</v>
      </c>
      <c r="F14" s="56">
        <v>1026.75</v>
      </c>
      <c r="G14" s="56">
        <v>1026.75</v>
      </c>
      <c r="H14" s="56">
        <v>1026.75</v>
      </c>
      <c r="I14" s="56">
        <v>1026.75</v>
      </c>
      <c r="J14" s="56">
        <v>1026.75</v>
      </c>
      <c r="K14" s="56">
        <v>1026.75</v>
      </c>
      <c r="L14" s="56">
        <v>1026.75</v>
      </c>
      <c r="M14" s="56">
        <v>1026.75</v>
      </c>
      <c r="N14" s="56">
        <v>1026.75</v>
      </c>
    </row>
    <row r="15" spans="1:14" x14ac:dyDescent="0.25">
      <c r="A15" s="90" t="s">
        <v>114</v>
      </c>
      <c r="B15" s="9">
        <f t="shared" si="2"/>
        <v>0</v>
      </c>
      <c r="C15" s="56"/>
      <c r="D15" s="56"/>
      <c r="E15" s="56"/>
      <c r="F15" s="56"/>
      <c r="G15" s="56"/>
      <c r="H15" s="56"/>
      <c r="I15" s="56"/>
      <c r="J15" s="56"/>
      <c r="K15" s="56"/>
      <c r="L15" s="56"/>
      <c r="M15" s="56"/>
      <c r="N15" s="56"/>
    </row>
    <row r="16" spans="1:14" x14ac:dyDescent="0.25">
      <c r="A16" s="90" t="s">
        <v>114</v>
      </c>
      <c r="B16" s="9">
        <f t="shared" si="1"/>
        <v>0</v>
      </c>
      <c r="C16" s="56"/>
      <c r="D16" s="56"/>
      <c r="E16" s="56"/>
      <c r="F16" s="56"/>
      <c r="G16" s="56"/>
      <c r="H16" s="56"/>
      <c r="I16" s="56"/>
      <c r="J16" s="56"/>
      <c r="K16" s="56"/>
      <c r="L16" s="56"/>
      <c r="M16" s="56"/>
      <c r="N16" s="56"/>
    </row>
    <row r="17" spans="1:14" x14ac:dyDescent="0.25">
      <c r="A17" s="45" t="s">
        <v>20</v>
      </c>
      <c r="B17" s="46">
        <f>SUM(B8:B16)</f>
        <v>18848965</v>
      </c>
      <c r="C17" s="46">
        <f>SUM(C8:C16)</f>
        <v>1115727.3233333335</v>
      </c>
      <c r="D17" s="46">
        <f t="shared" ref="D17:N17" si="3">SUM(D8:D16)</f>
        <v>1115727.3233333335</v>
      </c>
      <c r="E17" s="46">
        <f t="shared" si="3"/>
        <v>1115727.3233333335</v>
      </c>
      <c r="F17" s="46">
        <f t="shared" si="3"/>
        <v>1115727.3233333335</v>
      </c>
      <c r="G17" s="46">
        <f t="shared" si="3"/>
        <v>1325736.4433333334</v>
      </c>
      <c r="H17" s="46">
        <f t="shared" si="3"/>
        <v>4895891.4833333343</v>
      </c>
      <c r="I17" s="46">
        <f t="shared" si="3"/>
        <v>1220731.8833333335</v>
      </c>
      <c r="J17" s="46">
        <f t="shared" si="3"/>
        <v>1220731.8833333335</v>
      </c>
      <c r="K17" s="46">
        <f t="shared" si="3"/>
        <v>1220731.8833333335</v>
      </c>
      <c r="L17" s="46">
        <f t="shared" si="3"/>
        <v>2270777.4833333334</v>
      </c>
      <c r="M17" s="46">
        <f t="shared" si="3"/>
        <v>1220731.8833333335</v>
      </c>
      <c r="N17" s="46">
        <f t="shared" si="3"/>
        <v>1010722.7633333334</v>
      </c>
    </row>
    <row r="18" spans="1:14" x14ac:dyDescent="0.25">
      <c r="A18" s="11" t="s">
        <v>19</v>
      </c>
      <c r="B18" s="11"/>
      <c r="C18" s="47"/>
      <c r="D18" s="47"/>
      <c r="E18" s="47"/>
      <c r="F18" s="47"/>
      <c r="G18" s="47"/>
      <c r="H18" s="47"/>
      <c r="I18" s="47"/>
      <c r="J18" s="47"/>
      <c r="K18" s="47"/>
      <c r="L18" s="47"/>
      <c r="M18" s="47"/>
      <c r="N18" s="47"/>
    </row>
    <row r="19" spans="1:14" x14ac:dyDescent="0.25">
      <c r="A19" s="90" t="s">
        <v>13</v>
      </c>
      <c r="B19" s="9">
        <f t="shared" ref="B19:B25" si="4">SUM(C19:N19)</f>
        <v>12290597.234999999</v>
      </c>
      <c r="C19" s="56">
        <v>945430.55653846159</v>
      </c>
      <c r="D19" s="56">
        <v>945430.55653846159</v>
      </c>
      <c r="E19" s="56">
        <v>945430.55653846159</v>
      </c>
      <c r="F19" s="56">
        <v>1418145.8348076926</v>
      </c>
      <c r="G19" s="56">
        <v>945430.55653846159</v>
      </c>
      <c r="H19" s="56">
        <v>945430.55653846159</v>
      </c>
      <c r="I19" s="56">
        <v>945430.55653846159</v>
      </c>
      <c r="J19" s="56">
        <v>945430.55653846159</v>
      </c>
      <c r="K19" s="56">
        <v>945430.55653846159</v>
      </c>
      <c r="L19" s="56">
        <v>945430.55653846159</v>
      </c>
      <c r="M19" s="56">
        <v>1418145.8348076926</v>
      </c>
      <c r="N19" s="56">
        <v>945430.55653846159</v>
      </c>
    </row>
    <row r="20" spans="1:14" x14ac:dyDescent="0.25">
      <c r="A20" s="90" t="s">
        <v>14</v>
      </c>
      <c r="B20" s="9">
        <f t="shared" si="4"/>
        <v>2445634</v>
      </c>
      <c r="C20" s="56">
        <v>203802.83333333334</v>
      </c>
      <c r="D20" s="56">
        <v>203802.83333333334</v>
      </c>
      <c r="E20" s="56">
        <v>203802.83333333334</v>
      </c>
      <c r="F20" s="56">
        <v>203802.83333333334</v>
      </c>
      <c r="G20" s="56">
        <v>203802.83333333334</v>
      </c>
      <c r="H20" s="56">
        <v>203802.83333333334</v>
      </c>
      <c r="I20" s="56">
        <v>203802.83333333334</v>
      </c>
      <c r="J20" s="56">
        <v>203802.83333333334</v>
      </c>
      <c r="K20" s="56">
        <v>203802.83333333334</v>
      </c>
      <c r="L20" s="56">
        <v>203802.83333333334</v>
      </c>
      <c r="M20" s="56">
        <v>203802.83333333334</v>
      </c>
      <c r="N20" s="56">
        <v>203802.83333333334</v>
      </c>
    </row>
    <row r="21" spans="1:14" x14ac:dyDescent="0.25">
      <c r="A21" s="90" t="s">
        <v>15</v>
      </c>
      <c r="B21" s="9">
        <f t="shared" si="4"/>
        <v>3456780</v>
      </c>
      <c r="C21" s="56">
        <v>288065</v>
      </c>
      <c r="D21" s="56">
        <v>288065</v>
      </c>
      <c r="E21" s="56">
        <v>288065</v>
      </c>
      <c r="F21" s="56">
        <v>288065</v>
      </c>
      <c r="G21" s="56">
        <v>288065</v>
      </c>
      <c r="H21" s="56">
        <v>288065</v>
      </c>
      <c r="I21" s="56">
        <v>288065</v>
      </c>
      <c r="J21" s="56">
        <v>288065</v>
      </c>
      <c r="K21" s="56">
        <v>288065</v>
      </c>
      <c r="L21" s="56">
        <v>288065</v>
      </c>
      <c r="M21" s="56">
        <v>288065</v>
      </c>
      <c r="N21" s="56">
        <v>288065</v>
      </c>
    </row>
    <row r="22" spans="1:14" x14ac:dyDescent="0.25">
      <c r="A22" s="90" t="s">
        <v>16</v>
      </c>
      <c r="B22" s="9">
        <f t="shared" si="4"/>
        <v>125789.00000000001</v>
      </c>
      <c r="C22" s="56">
        <v>10482.416666666666</v>
      </c>
      <c r="D22" s="56">
        <v>10482.416666666666</v>
      </c>
      <c r="E22" s="56">
        <v>10482.416666666666</v>
      </c>
      <c r="F22" s="56">
        <v>10482.416666666666</v>
      </c>
      <c r="G22" s="56">
        <v>10482.416666666666</v>
      </c>
      <c r="H22" s="56">
        <v>10482.416666666666</v>
      </c>
      <c r="I22" s="56">
        <v>10482.416666666666</v>
      </c>
      <c r="J22" s="56">
        <v>10482.416666666666</v>
      </c>
      <c r="K22" s="56">
        <v>10482.416666666666</v>
      </c>
      <c r="L22" s="56">
        <v>10482.416666666666</v>
      </c>
      <c r="M22" s="56">
        <v>10482.416666666666</v>
      </c>
      <c r="N22" s="56">
        <v>10482.416666666666</v>
      </c>
    </row>
    <row r="23" spans="1:14" x14ac:dyDescent="0.25">
      <c r="A23" s="90" t="s">
        <v>17</v>
      </c>
      <c r="B23" s="9">
        <f t="shared" ref="B23:B24" si="5">SUM(C23:N23)</f>
        <v>32567.000000000004</v>
      </c>
      <c r="C23" s="56">
        <v>2713.9166666666665</v>
      </c>
      <c r="D23" s="56">
        <v>2713.9166666666665</v>
      </c>
      <c r="E23" s="56">
        <v>2713.9166666666665</v>
      </c>
      <c r="F23" s="56">
        <v>2713.9166666666665</v>
      </c>
      <c r="G23" s="56">
        <v>2713.9166666666665</v>
      </c>
      <c r="H23" s="56">
        <v>2713.9166666666665</v>
      </c>
      <c r="I23" s="56">
        <v>2713.9166666666665</v>
      </c>
      <c r="J23" s="56">
        <v>2713.9166666666665</v>
      </c>
      <c r="K23" s="56">
        <v>2713.9166666666665</v>
      </c>
      <c r="L23" s="56">
        <v>2713.9166666666665</v>
      </c>
      <c r="M23" s="56">
        <v>2713.9166666666665</v>
      </c>
      <c r="N23" s="56">
        <v>2713.9166666666665</v>
      </c>
    </row>
    <row r="24" spans="1:14" x14ac:dyDescent="0.25">
      <c r="A24" s="90" t="s">
        <v>115</v>
      </c>
      <c r="B24" s="9">
        <f t="shared" si="5"/>
        <v>0</v>
      </c>
      <c r="C24" s="56"/>
      <c r="D24" s="56"/>
      <c r="E24" s="56"/>
      <c r="F24" s="56"/>
      <c r="G24" s="56"/>
      <c r="H24" s="56"/>
      <c r="I24" s="56"/>
      <c r="J24" s="56"/>
      <c r="K24" s="56"/>
      <c r="L24" s="56"/>
      <c r="M24" s="56"/>
      <c r="N24" s="56"/>
    </row>
    <row r="25" spans="1:14" x14ac:dyDescent="0.25">
      <c r="A25" s="90" t="s">
        <v>115</v>
      </c>
      <c r="B25" s="9">
        <f t="shared" si="4"/>
        <v>0</v>
      </c>
      <c r="C25" s="56"/>
      <c r="D25" s="56"/>
      <c r="E25" s="56"/>
      <c r="F25" s="56"/>
      <c r="G25" s="56"/>
      <c r="H25" s="56"/>
      <c r="I25" s="56"/>
      <c r="J25" s="56"/>
      <c r="K25" s="56"/>
      <c r="L25" s="56"/>
      <c r="M25" s="56"/>
      <c r="N25" s="56"/>
    </row>
    <row r="26" spans="1:14" x14ac:dyDescent="0.25">
      <c r="A26" s="45" t="s">
        <v>21</v>
      </c>
      <c r="B26" s="46">
        <f>SUM(B19:B25)</f>
        <v>18351367.234999999</v>
      </c>
      <c r="C26" s="46">
        <f t="shared" ref="C26:N26" si="6">SUM(C19:C25)</f>
        <v>1450494.7232051285</v>
      </c>
      <c r="D26" s="46">
        <f t="shared" si="6"/>
        <v>1450494.7232051285</v>
      </c>
      <c r="E26" s="46">
        <f t="shared" si="6"/>
        <v>1450494.7232051285</v>
      </c>
      <c r="F26" s="46">
        <f t="shared" si="6"/>
        <v>1923210.0014743593</v>
      </c>
      <c r="G26" s="46">
        <f t="shared" si="6"/>
        <v>1450494.7232051285</v>
      </c>
      <c r="H26" s="46">
        <f t="shared" si="6"/>
        <v>1450494.7232051285</v>
      </c>
      <c r="I26" s="46">
        <f t="shared" si="6"/>
        <v>1450494.7232051285</v>
      </c>
      <c r="J26" s="46">
        <f t="shared" si="6"/>
        <v>1450494.7232051285</v>
      </c>
      <c r="K26" s="46">
        <f t="shared" si="6"/>
        <v>1450494.7232051285</v>
      </c>
      <c r="L26" s="46">
        <f t="shared" si="6"/>
        <v>1450494.7232051285</v>
      </c>
      <c r="M26" s="46">
        <f t="shared" si="6"/>
        <v>1923210.0014743593</v>
      </c>
      <c r="N26" s="46">
        <f t="shared" si="6"/>
        <v>1450494.7232051285</v>
      </c>
    </row>
    <row r="27" spans="1:14" ht="15.75" thickBot="1" x14ac:dyDescent="0.3">
      <c r="A27" s="48" t="s">
        <v>22</v>
      </c>
      <c r="B27" s="49">
        <f t="shared" ref="B27:N27" si="7">B17-B26</f>
        <v>497597.7650000006</v>
      </c>
      <c r="C27" s="49">
        <f t="shared" si="7"/>
        <v>-334767.39987179497</v>
      </c>
      <c r="D27" s="49">
        <f t="shared" si="7"/>
        <v>-334767.39987179497</v>
      </c>
      <c r="E27" s="49">
        <f t="shared" si="7"/>
        <v>-334767.39987179497</v>
      </c>
      <c r="F27" s="49">
        <f t="shared" si="7"/>
        <v>-807482.67814102583</v>
      </c>
      <c r="G27" s="49">
        <f t="shared" si="7"/>
        <v>-124758.27987179509</v>
      </c>
      <c r="H27" s="49">
        <f t="shared" si="7"/>
        <v>3445396.7601282056</v>
      </c>
      <c r="I27" s="49">
        <f t="shared" si="7"/>
        <v>-229762.83987179492</v>
      </c>
      <c r="J27" s="49">
        <f t="shared" si="7"/>
        <v>-229762.83987179492</v>
      </c>
      <c r="K27" s="49">
        <f t="shared" si="7"/>
        <v>-229762.83987179492</v>
      </c>
      <c r="L27" s="49">
        <f t="shared" si="7"/>
        <v>820282.76012820494</v>
      </c>
      <c r="M27" s="49">
        <f t="shared" si="7"/>
        <v>-702478.11814102577</v>
      </c>
      <c r="N27" s="49">
        <f t="shared" si="7"/>
        <v>-439771.95987179503</v>
      </c>
    </row>
    <row r="28" spans="1:14" x14ac:dyDescent="0.25">
      <c r="A28" s="42" t="s">
        <v>23</v>
      </c>
      <c r="B28" s="42"/>
      <c r="C28" s="50"/>
      <c r="D28" s="50"/>
    </row>
    <row r="29" spans="1:14" x14ac:dyDescent="0.25">
      <c r="A29" s="43"/>
      <c r="B29" s="44" t="str">
        <f>CONCATENATE("TOTAL-",(RIGHT(B$52,4)-2))</f>
        <v>TOTAL-2017</v>
      </c>
      <c r="C29" s="44" t="str">
        <f>CONCATENATE(LEFT(C$52,4),(RIGHT(C$52,4)-2))</f>
        <v>JUL-2016</v>
      </c>
      <c r="D29" s="44" t="str">
        <f t="shared" ref="D29:N29" si="8">CONCATENATE(LEFT(D$52,4),(RIGHT(D$52,4)-2))</f>
        <v>AUG-2016</v>
      </c>
      <c r="E29" s="44" t="str">
        <f t="shared" si="8"/>
        <v>SEP-2016</v>
      </c>
      <c r="F29" s="44" t="str">
        <f t="shared" si="8"/>
        <v>OCT-2016</v>
      </c>
      <c r="G29" s="44" t="str">
        <f t="shared" si="8"/>
        <v>NOV-2016</v>
      </c>
      <c r="H29" s="44" t="str">
        <f t="shared" si="8"/>
        <v>DEC-2016</v>
      </c>
      <c r="I29" s="44" t="str">
        <f t="shared" si="8"/>
        <v>JAN-2017</v>
      </c>
      <c r="J29" s="44" t="str">
        <f t="shared" si="8"/>
        <v>FEB-2017</v>
      </c>
      <c r="K29" s="44" t="str">
        <f t="shared" si="8"/>
        <v>MAR-2017</v>
      </c>
      <c r="L29" s="44" t="str">
        <f t="shared" si="8"/>
        <v>APR-2017</v>
      </c>
      <c r="M29" s="44" t="str">
        <f t="shared" si="8"/>
        <v>MAY-2017</v>
      </c>
      <c r="N29" s="44" t="str">
        <f t="shared" si="8"/>
        <v>JUN-2017</v>
      </c>
    </row>
    <row r="30" spans="1:14" x14ac:dyDescent="0.25">
      <c r="A30" s="11" t="s">
        <v>18</v>
      </c>
      <c r="B30" s="11"/>
    </row>
    <row r="31" spans="1:14" x14ac:dyDescent="0.25">
      <c r="A31" s="5" t="str">
        <f t="shared" ref="A31:A36" si="9">A8</f>
        <v xml:space="preserve"> TAX RECEIPTS</v>
      </c>
      <c r="B31" s="9">
        <f>SUM(C31:N31)</f>
        <v>10290446.880000003</v>
      </c>
      <c r="C31" s="56">
        <v>411617.87520000001</v>
      </c>
      <c r="D31" s="56">
        <v>411617.87520000001</v>
      </c>
      <c r="E31" s="56">
        <v>411617.87520000001</v>
      </c>
      <c r="F31" s="56">
        <v>411617.87520000001</v>
      </c>
      <c r="G31" s="56">
        <v>617426.81279999996</v>
      </c>
      <c r="H31" s="56">
        <v>4116178.7520000003</v>
      </c>
      <c r="I31" s="56">
        <v>514522.34400000004</v>
      </c>
      <c r="J31" s="56">
        <v>514522.34400000004</v>
      </c>
      <c r="K31" s="56">
        <v>514522.34400000004</v>
      </c>
      <c r="L31" s="56">
        <v>1543567.0319999999</v>
      </c>
      <c r="M31" s="56">
        <v>514522.34400000004</v>
      </c>
      <c r="N31" s="56">
        <v>308713.40639999998</v>
      </c>
    </row>
    <row r="32" spans="1:14" x14ac:dyDescent="0.25">
      <c r="A32" s="5" t="str">
        <f t="shared" si="9"/>
        <v xml:space="preserve"> USER FEES</v>
      </c>
      <c r="B32" s="9">
        <f t="shared" ref="B32:B39" si="10">SUM(C32:N32)</f>
        <v>3430564.4800000009</v>
      </c>
      <c r="C32" s="56">
        <v>285880.37333333335</v>
      </c>
      <c r="D32" s="56">
        <v>285880.37333333335</v>
      </c>
      <c r="E32" s="56">
        <v>285880.37333333335</v>
      </c>
      <c r="F32" s="56">
        <v>285880.37333333335</v>
      </c>
      <c r="G32" s="56">
        <v>285880.37333333335</v>
      </c>
      <c r="H32" s="56">
        <v>285880.37333333335</v>
      </c>
      <c r="I32" s="56">
        <v>285880.37333333335</v>
      </c>
      <c r="J32" s="56">
        <v>285880.37333333335</v>
      </c>
      <c r="K32" s="56">
        <v>285880.37333333335</v>
      </c>
      <c r="L32" s="56">
        <v>285880.37333333335</v>
      </c>
      <c r="M32" s="56">
        <v>285880.37333333335</v>
      </c>
      <c r="N32" s="56">
        <v>285880.37333333335</v>
      </c>
    </row>
    <row r="33" spans="1:14" x14ac:dyDescent="0.25">
      <c r="A33" s="5" t="str">
        <f t="shared" si="9"/>
        <v xml:space="preserve"> SHARED REVENUES - FEDERAL</v>
      </c>
      <c r="B33" s="9">
        <f t="shared" si="10"/>
        <v>1229605.0199999998</v>
      </c>
      <c r="C33" s="56">
        <v>102467.08499999999</v>
      </c>
      <c r="D33" s="56">
        <v>102467.08499999999</v>
      </c>
      <c r="E33" s="56">
        <v>102467.08499999999</v>
      </c>
      <c r="F33" s="56">
        <v>102467.08499999999</v>
      </c>
      <c r="G33" s="56">
        <v>102467.08499999999</v>
      </c>
      <c r="H33" s="56">
        <v>102467.08499999999</v>
      </c>
      <c r="I33" s="56">
        <v>102467.08499999999</v>
      </c>
      <c r="J33" s="56">
        <v>102467.08499999999</v>
      </c>
      <c r="K33" s="56">
        <v>102467.08499999999</v>
      </c>
      <c r="L33" s="56">
        <v>102467.08499999999</v>
      </c>
      <c r="M33" s="56">
        <v>102467.08499999999</v>
      </c>
      <c r="N33" s="56">
        <v>102467.08499999999</v>
      </c>
    </row>
    <row r="34" spans="1:14" x14ac:dyDescent="0.25">
      <c r="A34" s="5" t="str">
        <f t="shared" si="9"/>
        <v xml:space="preserve"> SHARED REVENUES - STATE</v>
      </c>
      <c r="B34" s="9">
        <f t="shared" si="10"/>
        <v>3430229.3200000003</v>
      </c>
      <c r="C34" s="56">
        <v>285852.44333333336</v>
      </c>
      <c r="D34" s="56">
        <v>285852.44333333336</v>
      </c>
      <c r="E34" s="56">
        <v>285852.44333333336</v>
      </c>
      <c r="F34" s="56">
        <v>285852.44333333336</v>
      </c>
      <c r="G34" s="56">
        <v>285852.44333333336</v>
      </c>
      <c r="H34" s="56">
        <v>285852.44333333336</v>
      </c>
      <c r="I34" s="56">
        <v>285852.44333333336</v>
      </c>
      <c r="J34" s="56">
        <v>285852.44333333336</v>
      </c>
      <c r="K34" s="56">
        <v>285852.44333333336</v>
      </c>
      <c r="L34" s="56">
        <v>285852.44333333336</v>
      </c>
      <c r="M34" s="56">
        <v>285852.44333333336</v>
      </c>
      <c r="N34" s="56">
        <v>285852.44333333336</v>
      </c>
    </row>
    <row r="35" spans="1:14" x14ac:dyDescent="0.25">
      <c r="A35" s="5" t="str">
        <f t="shared" si="9"/>
        <v xml:space="preserve"> SHARED REVENUES - LOCAL</v>
      </c>
      <c r="B35" s="9">
        <f t="shared" si="10"/>
        <v>53693.219999999979</v>
      </c>
      <c r="C35" s="56">
        <v>4474.4349999999995</v>
      </c>
      <c r="D35" s="56">
        <v>4474.4349999999995</v>
      </c>
      <c r="E35" s="56">
        <v>4474.4349999999995</v>
      </c>
      <c r="F35" s="56">
        <v>4474.4349999999995</v>
      </c>
      <c r="G35" s="56">
        <v>4474.4349999999995</v>
      </c>
      <c r="H35" s="56">
        <v>4474.4349999999995</v>
      </c>
      <c r="I35" s="56">
        <v>4474.4349999999995</v>
      </c>
      <c r="J35" s="56">
        <v>4474.4349999999995</v>
      </c>
      <c r="K35" s="56">
        <v>4474.4349999999995</v>
      </c>
      <c r="L35" s="56">
        <v>4474.4349999999995</v>
      </c>
      <c r="M35" s="56">
        <v>4474.4349999999995</v>
      </c>
      <c r="N35" s="56">
        <v>4474.4349999999995</v>
      </c>
    </row>
    <row r="36" spans="1:14" x14ac:dyDescent="0.25">
      <c r="A36" s="5" t="str">
        <f t="shared" si="9"/>
        <v xml:space="preserve"> INVESTMENT INCOME</v>
      </c>
      <c r="B36" s="9">
        <f t="shared" si="10"/>
        <v>25372.199999999993</v>
      </c>
      <c r="C36" s="56">
        <v>2114.35</v>
      </c>
      <c r="D36" s="56">
        <v>2114.35</v>
      </c>
      <c r="E36" s="56">
        <v>2114.35</v>
      </c>
      <c r="F36" s="56">
        <v>2114.35</v>
      </c>
      <c r="G36" s="56">
        <v>2114.35</v>
      </c>
      <c r="H36" s="56">
        <v>2114.35</v>
      </c>
      <c r="I36" s="56">
        <v>2114.35</v>
      </c>
      <c r="J36" s="56">
        <v>2114.35</v>
      </c>
      <c r="K36" s="56">
        <v>2114.35</v>
      </c>
      <c r="L36" s="56">
        <v>2114.35</v>
      </c>
      <c r="M36" s="56">
        <v>2114.35</v>
      </c>
      <c r="N36" s="56">
        <v>2114.35</v>
      </c>
    </row>
    <row r="37" spans="1:14" x14ac:dyDescent="0.25">
      <c r="A37" s="5" t="str">
        <f t="shared" ref="A37:A39" si="11">A14</f>
        <v xml:space="preserve"> OTHER INCOME</v>
      </c>
      <c r="B37" s="9">
        <f t="shared" ref="B37" si="12">SUM(C37:N37)</f>
        <v>12074.58</v>
      </c>
      <c r="C37" s="56">
        <v>1006.215</v>
      </c>
      <c r="D37" s="56">
        <v>1006.215</v>
      </c>
      <c r="E37" s="56">
        <v>1006.215</v>
      </c>
      <c r="F37" s="56">
        <v>1006.215</v>
      </c>
      <c r="G37" s="56">
        <v>1006.215</v>
      </c>
      <c r="H37" s="56">
        <v>1006.215</v>
      </c>
      <c r="I37" s="56">
        <v>1006.215</v>
      </c>
      <c r="J37" s="56">
        <v>1006.215</v>
      </c>
      <c r="K37" s="56">
        <v>1006.215</v>
      </c>
      <c r="L37" s="56">
        <v>1006.215</v>
      </c>
      <c r="M37" s="56">
        <v>1006.215</v>
      </c>
      <c r="N37" s="56">
        <v>1006.215</v>
      </c>
    </row>
    <row r="38" spans="1:14" x14ac:dyDescent="0.25">
      <c r="A38" s="5" t="str">
        <f t="shared" si="11"/>
        <v xml:space="preserve"> OTHER SOURCE</v>
      </c>
      <c r="B38" s="9">
        <f t="shared" ref="B38" si="13">SUM(C38:N38)</f>
        <v>0</v>
      </c>
      <c r="C38" s="56"/>
      <c r="D38" s="56"/>
      <c r="E38" s="56"/>
      <c r="F38" s="56"/>
      <c r="G38" s="56"/>
      <c r="H38" s="56"/>
      <c r="I38" s="56"/>
      <c r="J38" s="56"/>
      <c r="K38" s="56"/>
      <c r="L38" s="56"/>
      <c r="M38" s="56"/>
      <c r="N38" s="56"/>
    </row>
    <row r="39" spans="1:14" x14ac:dyDescent="0.25">
      <c r="A39" s="5" t="str">
        <f t="shared" si="11"/>
        <v xml:space="preserve"> OTHER SOURCE</v>
      </c>
      <c r="B39" s="9">
        <f t="shared" si="10"/>
        <v>0</v>
      </c>
      <c r="C39" s="56"/>
      <c r="D39" s="56"/>
      <c r="E39" s="56"/>
      <c r="F39" s="56"/>
      <c r="G39" s="56"/>
      <c r="H39" s="56"/>
      <c r="I39" s="56"/>
      <c r="J39" s="56"/>
      <c r="K39" s="56"/>
      <c r="L39" s="56"/>
      <c r="M39" s="56"/>
      <c r="N39" s="56"/>
    </row>
    <row r="40" spans="1:14" x14ac:dyDescent="0.25">
      <c r="A40" s="45" t="s">
        <v>20</v>
      </c>
      <c r="B40" s="46">
        <f>SUM(B31:B39)</f>
        <v>18471985.699999999</v>
      </c>
      <c r="C40" s="46">
        <f>SUM(C31:C39)</f>
        <v>1093412.776866667</v>
      </c>
      <c r="D40" s="46">
        <f t="shared" ref="D40" si="14">SUM(D31:D39)</f>
        <v>1093412.776866667</v>
      </c>
      <c r="E40" s="46">
        <f t="shared" ref="E40" si="15">SUM(E31:E39)</f>
        <v>1093412.776866667</v>
      </c>
      <c r="F40" s="46">
        <f t="shared" ref="F40" si="16">SUM(F31:F39)</f>
        <v>1093412.776866667</v>
      </c>
      <c r="G40" s="46">
        <f t="shared" ref="G40" si="17">SUM(G31:G39)</f>
        <v>1299221.7144666668</v>
      </c>
      <c r="H40" s="46">
        <f t="shared" ref="H40" si="18">SUM(H31:H39)</f>
        <v>4797973.6536666658</v>
      </c>
      <c r="I40" s="46">
        <f t="shared" ref="I40" si="19">SUM(I31:I39)</f>
        <v>1196317.2456666669</v>
      </c>
      <c r="J40" s="46">
        <f t="shared" ref="J40" si="20">SUM(J31:J39)</f>
        <v>1196317.2456666669</v>
      </c>
      <c r="K40" s="46">
        <f t="shared" ref="K40" si="21">SUM(K31:K39)</f>
        <v>1196317.2456666669</v>
      </c>
      <c r="L40" s="46">
        <f t="shared" ref="L40" si="22">SUM(L31:L39)</f>
        <v>2225361.9336666665</v>
      </c>
      <c r="M40" s="46">
        <f t="shared" ref="M40" si="23">SUM(M31:M39)</f>
        <v>1196317.2456666669</v>
      </c>
      <c r="N40" s="46">
        <f t="shared" ref="N40" si="24">SUM(N31:N39)</f>
        <v>990508.30806666659</v>
      </c>
    </row>
    <row r="41" spans="1:14" x14ac:dyDescent="0.25">
      <c r="A41" s="11" t="s">
        <v>19</v>
      </c>
      <c r="B41" s="11"/>
      <c r="C41" s="35"/>
      <c r="D41" s="35"/>
      <c r="E41" s="35"/>
      <c r="F41" s="35"/>
      <c r="G41" s="35"/>
      <c r="H41" s="35"/>
      <c r="I41" s="35"/>
      <c r="J41" s="35"/>
      <c r="K41" s="35"/>
      <c r="L41" s="35"/>
      <c r="M41" s="35"/>
      <c r="N41" s="35"/>
    </row>
    <row r="42" spans="1:14" x14ac:dyDescent="0.25">
      <c r="A42" s="5" t="str">
        <f>A19</f>
        <v xml:space="preserve"> PAYROLL &amp; BENEFITS</v>
      </c>
      <c r="B42" s="9">
        <f t="shared" ref="B42:B48" si="25">SUM(C42:N42)</f>
        <v>10924975.319999998</v>
      </c>
      <c r="C42" s="56">
        <v>840382.71692307689</v>
      </c>
      <c r="D42" s="56">
        <v>840382.71692307689</v>
      </c>
      <c r="E42" s="56">
        <v>840382.71692307689</v>
      </c>
      <c r="F42" s="56">
        <v>1260574.0753846155</v>
      </c>
      <c r="G42" s="56">
        <v>840382.71692307689</v>
      </c>
      <c r="H42" s="56">
        <v>840382.71692307689</v>
      </c>
      <c r="I42" s="56">
        <v>840382.71692307689</v>
      </c>
      <c r="J42" s="56">
        <v>840382.71692307689</v>
      </c>
      <c r="K42" s="56">
        <v>840382.71692307689</v>
      </c>
      <c r="L42" s="56">
        <v>840382.71692307689</v>
      </c>
      <c r="M42" s="56">
        <v>1260574.0753846155</v>
      </c>
      <c r="N42" s="56">
        <v>840382.71692307689</v>
      </c>
    </row>
    <row r="43" spans="1:14" x14ac:dyDescent="0.25">
      <c r="A43" s="5" t="str">
        <f>A20</f>
        <v xml:space="preserve"> GENERAL ADMINISTRATIVE</v>
      </c>
      <c r="B43" s="9">
        <f t="shared" si="25"/>
        <v>2396721.3199999998</v>
      </c>
      <c r="C43" s="56">
        <v>199726.77666666667</v>
      </c>
      <c r="D43" s="56">
        <v>199726.77666666667</v>
      </c>
      <c r="E43" s="56">
        <v>199726.77666666667</v>
      </c>
      <c r="F43" s="56">
        <v>199726.77666666667</v>
      </c>
      <c r="G43" s="56">
        <v>199726.77666666667</v>
      </c>
      <c r="H43" s="56">
        <v>199726.77666666667</v>
      </c>
      <c r="I43" s="56">
        <v>199726.77666666667</v>
      </c>
      <c r="J43" s="56">
        <v>199726.77666666667</v>
      </c>
      <c r="K43" s="56">
        <v>199726.77666666667</v>
      </c>
      <c r="L43" s="56">
        <v>199726.77666666667</v>
      </c>
      <c r="M43" s="56">
        <v>199726.77666666667</v>
      </c>
      <c r="N43" s="56">
        <v>199726.77666666667</v>
      </c>
    </row>
    <row r="44" spans="1:14" x14ac:dyDescent="0.25">
      <c r="A44" s="5" t="str">
        <f>A21</f>
        <v xml:space="preserve"> COMMODITIES</v>
      </c>
      <c r="B44" s="9">
        <f t="shared" si="25"/>
        <v>3387644.4000000008</v>
      </c>
      <c r="C44" s="56">
        <v>282303.7</v>
      </c>
      <c r="D44" s="56">
        <v>282303.7</v>
      </c>
      <c r="E44" s="56">
        <v>282303.7</v>
      </c>
      <c r="F44" s="56">
        <v>282303.7</v>
      </c>
      <c r="G44" s="56">
        <v>282303.7</v>
      </c>
      <c r="H44" s="56">
        <v>282303.7</v>
      </c>
      <c r="I44" s="56">
        <v>282303.7</v>
      </c>
      <c r="J44" s="56">
        <v>282303.7</v>
      </c>
      <c r="K44" s="56">
        <v>282303.7</v>
      </c>
      <c r="L44" s="56">
        <v>282303.7</v>
      </c>
      <c r="M44" s="56">
        <v>282303.7</v>
      </c>
      <c r="N44" s="56">
        <v>282303.7</v>
      </c>
    </row>
    <row r="45" spans="1:14" x14ac:dyDescent="0.25">
      <c r="A45" s="5" t="str">
        <f>A22</f>
        <v xml:space="preserve"> DEBT SERVICE</v>
      </c>
      <c r="B45" s="9">
        <f t="shared" si="25"/>
        <v>123273.22000000003</v>
      </c>
      <c r="C45" s="56">
        <v>10272.768333333333</v>
      </c>
      <c r="D45" s="56">
        <v>10272.768333333333</v>
      </c>
      <c r="E45" s="56">
        <v>10272.768333333333</v>
      </c>
      <c r="F45" s="56">
        <v>10272.768333333333</v>
      </c>
      <c r="G45" s="56">
        <v>10272.768333333333</v>
      </c>
      <c r="H45" s="56">
        <v>10272.768333333333</v>
      </c>
      <c r="I45" s="56">
        <v>10272.768333333333</v>
      </c>
      <c r="J45" s="56">
        <v>10272.768333333333</v>
      </c>
      <c r="K45" s="56">
        <v>10272.768333333333</v>
      </c>
      <c r="L45" s="56">
        <v>10272.768333333333</v>
      </c>
      <c r="M45" s="56">
        <v>10272.768333333333</v>
      </c>
      <c r="N45" s="56">
        <v>10272.768333333333</v>
      </c>
    </row>
    <row r="46" spans="1:14" x14ac:dyDescent="0.25">
      <c r="A46" s="5" t="str">
        <f t="shared" ref="A46:A48" si="26">A23</f>
        <v xml:space="preserve"> OTHER EXPENSE</v>
      </c>
      <c r="B46" s="9">
        <f t="shared" ref="B46" si="27">SUM(C46:N46)</f>
        <v>31915.659999999993</v>
      </c>
      <c r="C46" s="56">
        <v>2659.6383333333333</v>
      </c>
      <c r="D46" s="56">
        <v>2659.6383333333333</v>
      </c>
      <c r="E46" s="56">
        <v>2659.6383333333333</v>
      </c>
      <c r="F46" s="56">
        <v>2659.6383333333333</v>
      </c>
      <c r="G46" s="56">
        <v>2659.6383333333333</v>
      </c>
      <c r="H46" s="56">
        <v>2659.6383333333333</v>
      </c>
      <c r="I46" s="56">
        <v>2659.6383333333333</v>
      </c>
      <c r="J46" s="56">
        <v>2659.6383333333333</v>
      </c>
      <c r="K46" s="56">
        <v>2659.6383333333333</v>
      </c>
      <c r="L46" s="56">
        <v>2659.6383333333333</v>
      </c>
      <c r="M46" s="56">
        <v>2659.6383333333333</v>
      </c>
      <c r="N46" s="56">
        <v>2659.6383333333333</v>
      </c>
    </row>
    <row r="47" spans="1:14" x14ac:dyDescent="0.25">
      <c r="A47" s="5" t="str">
        <f t="shared" si="26"/>
        <v xml:space="preserve"> OTHER USE</v>
      </c>
      <c r="B47" s="9">
        <f t="shared" ref="B47" si="28">SUM(C47:N47)</f>
        <v>0</v>
      </c>
      <c r="C47" s="56"/>
      <c r="D47" s="56"/>
      <c r="E47" s="56"/>
      <c r="F47" s="56"/>
      <c r="G47" s="56"/>
      <c r="H47" s="56"/>
      <c r="I47" s="56"/>
      <c r="J47" s="56"/>
      <c r="K47" s="56"/>
      <c r="L47" s="56"/>
      <c r="M47" s="56"/>
      <c r="N47" s="56"/>
    </row>
    <row r="48" spans="1:14" x14ac:dyDescent="0.25">
      <c r="A48" s="5" t="str">
        <f t="shared" si="26"/>
        <v xml:space="preserve"> OTHER USE</v>
      </c>
      <c r="B48" s="9">
        <f t="shared" si="25"/>
        <v>0</v>
      </c>
      <c r="C48" s="56"/>
      <c r="D48" s="56"/>
      <c r="E48" s="56"/>
      <c r="F48" s="56"/>
      <c r="G48" s="56"/>
      <c r="H48" s="56"/>
      <c r="I48" s="56"/>
      <c r="J48" s="56"/>
      <c r="K48" s="56"/>
      <c r="L48" s="56"/>
      <c r="M48" s="56"/>
      <c r="N48" s="56"/>
    </row>
    <row r="49" spans="1:14" x14ac:dyDescent="0.25">
      <c r="A49" s="45" t="s">
        <v>21</v>
      </c>
      <c r="B49" s="46">
        <f>SUM(B42:B48)</f>
        <v>16864529.919999998</v>
      </c>
      <c r="C49" s="46">
        <f t="shared" ref="C49" si="29">SUM(C42:C48)</f>
        <v>1335345.6002564102</v>
      </c>
      <c r="D49" s="46">
        <f t="shared" ref="D49" si="30">SUM(D42:D48)</f>
        <v>1335345.6002564102</v>
      </c>
      <c r="E49" s="46">
        <f t="shared" ref="E49" si="31">SUM(E42:E48)</f>
        <v>1335345.6002564102</v>
      </c>
      <c r="F49" s="46">
        <f t="shared" ref="F49" si="32">SUM(F42:F48)</f>
        <v>1755536.9587179488</v>
      </c>
      <c r="G49" s="46">
        <f t="shared" ref="G49" si="33">SUM(G42:G48)</f>
        <v>1335345.6002564102</v>
      </c>
      <c r="H49" s="46">
        <f t="shared" ref="H49" si="34">SUM(H42:H48)</f>
        <v>1335345.6002564102</v>
      </c>
      <c r="I49" s="46">
        <f t="shared" ref="I49" si="35">SUM(I42:I48)</f>
        <v>1335345.6002564102</v>
      </c>
      <c r="J49" s="46">
        <f t="shared" ref="J49" si="36">SUM(J42:J48)</f>
        <v>1335345.6002564102</v>
      </c>
      <c r="K49" s="46">
        <f t="shared" ref="K49" si="37">SUM(K42:K48)</f>
        <v>1335345.6002564102</v>
      </c>
      <c r="L49" s="46">
        <f t="shared" ref="L49" si="38">SUM(L42:L48)</f>
        <v>1335345.6002564102</v>
      </c>
      <c r="M49" s="46">
        <f t="shared" ref="M49" si="39">SUM(M42:M48)</f>
        <v>1755536.9587179488</v>
      </c>
      <c r="N49" s="46">
        <f t="shared" ref="N49" si="40">SUM(N42:N48)</f>
        <v>1335345.6002564102</v>
      </c>
    </row>
    <row r="50" spans="1:14" ht="15.75" thickBot="1" x14ac:dyDescent="0.3">
      <c r="A50" s="48" t="s">
        <v>22</v>
      </c>
      <c r="B50" s="49">
        <f t="shared" ref="B50:N50" si="41">B40-B49</f>
        <v>1607455.7800000012</v>
      </c>
      <c r="C50" s="49">
        <f t="shared" si="41"/>
        <v>-241932.82338974322</v>
      </c>
      <c r="D50" s="49">
        <f t="shared" si="41"/>
        <v>-241932.82338974322</v>
      </c>
      <c r="E50" s="49">
        <f t="shared" si="41"/>
        <v>-241932.82338974322</v>
      </c>
      <c r="F50" s="49">
        <f t="shared" si="41"/>
        <v>-662124.18185128178</v>
      </c>
      <c r="G50" s="49">
        <f t="shared" si="41"/>
        <v>-36123.885789743392</v>
      </c>
      <c r="H50" s="49">
        <f t="shared" si="41"/>
        <v>3462628.0534102554</v>
      </c>
      <c r="I50" s="49">
        <f t="shared" si="41"/>
        <v>-139028.35458974331</v>
      </c>
      <c r="J50" s="49">
        <f t="shared" si="41"/>
        <v>-139028.35458974331</v>
      </c>
      <c r="K50" s="49">
        <f t="shared" si="41"/>
        <v>-139028.35458974331</v>
      </c>
      <c r="L50" s="49">
        <f t="shared" si="41"/>
        <v>890016.33341025631</v>
      </c>
      <c r="M50" s="49">
        <f t="shared" si="41"/>
        <v>-559219.71305128187</v>
      </c>
      <c r="N50" s="49">
        <f t="shared" si="41"/>
        <v>-344837.2921897436</v>
      </c>
    </row>
    <row r="51" spans="1:14" x14ac:dyDescent="0.25">
      <c r="A51" s="42" t="s">
        <v>24</v>
      </c>
      <c r="B51" s="42"/>
      <c r="C51" s="50"/>
      <c r="D51" s="50"/>
      <c r="E51" s="50"/>
      <c r="F51" s="50"/>
      <c r="G51" s="50"/>
      <c r="H51" s="50"/>
      <c r="I51" s="50"/>
      <c r="J51" s="50"/>
    </row>
    <row r="52" spans="1:14" x14ac:dyDescent="0.25">
      <c r="A52" s="43"/>
      <c r="B52" s="44" t="str">
        <f>CONCATENATE("TOTAL-",RIGHT(B2,4))</f>
        <v>TOTAL-2019</v>
      </c>
      <c r="C52" s="44" t="str">
        <f>VLOOKUP($B$2,'5-FY Table'!$B$2:$N$37,2,FALSE)</f>
        <v>JUL-2018</v>
      </c>
      <c r="D52" s="44" t="str">
        <f>VLOOKUP($B$2,'5-FY Table'!$B$2:$N$37,3,FALSE)</f>
        <v>AUG-2018</v>
      </c>
      <c r="E52" s="44" t="str">
        <f>VLOOKUP($B$2,'5-FY Table'!$B$2:$N$37,4,FALSE)</f>
        <v>SEP-2018</v>
      </c>
      <c r="F52" s="44" t="str">
        <f>VLOOKUP($B$2,'5-FY Table'!$B$2:$N$37,5,FALSE)</f>
        <v>OCT-2018</v>
      </c>
      <c r="G52" s="44" t="str">
        <f>VLOOKUP($B$2,'5-FY Table'!$B$2:$N$37,6,FALSE)</f>
        <v>NOV-2018</v>
      </c>
      <c r="H52" s="44" t="str">
        <f>VLOOKUP($B$2,'5-FY Table'!$B$2:$N$37,7,FALSE)</f>
        <v>DEC-2018</v>
      </c>
      <c r="I52" s="44" t="str">
        <f>VLOOKUP($B$2,'5-FY Table'!$B$2:$N$37,8,FALSE)</f>
        <v>JAN-2019</v>
      </c>
      <c r="J52" s="44" t="str">
        <f>VLOOKUP($B$2,'5-FY Table'!$B$2:$N$37,9,FALSE)</f>
        <v>FEB-2019</v>
      </c>
      <c r="K52" s="44" t="str">
        <f>VLOOKUP($B$2,'5-FY Table'!$B$2:$N$37,10,FALSE)</f>
        <v>MAR-2019</v>
      </c>
      <c r="L52" s="44" t="str">
        <f>VLOOKUP($B$2,'5-FY Table'!$B$2:$N$37,11,FALSE)</f>
        <v>APR-2019</v>
      </c>
      <c r="M52" s="44" t="str">
        <f>VLOOKUP($B$2,'5-FY Table'!$B$2:$N$37,12,FALSE)</f>
        <v>MAY-2019</v>
      </c>
      <c r="N52" s="44" t="str">
        <f>VLOOKUP($B$2,'5-FY Table'!$B$2:$N$37,13,FALSE)</f>
        <v>JUN-2019</v>
      </c>
    </row>
    <row r="53" spans="1:14" x14ac:dyDescent="0.25">
      <c r="A53" s="11" t="s">
        <v>18</v>
      </c>
      <c r="B53" s="11"/>
    </row>
    <row r="54" spans="1:14" x14ac:dyDescent="0.25">
      <c r="A54" s="5" t="str">
        <f t="shared" ref="A54:A59" si="42">A8</f>
        <v xml:space="preserve"> TAX RECEIPTS</v>
      </c>
      <c r="B54" s="56">
        <v>10710000</v>
      </c>
      <c r="C54" s="35">
        <f>IFERROR((+C8+C31)/(+$B8+$B31)*$B54,0)</f>
        <v>428399.99999999994</v>
      </c>
      <c r="D54" s="35">
        <f t="shared" ref="D54:N54" si="43">IFERROR((+D8+D31)/(+$B8+$B31)*$B54,0)</f>
        <v>428399.99999999994</v>
      </c>
      <c r="E54" s="35">
        <f t="shared" si="43"/>
        <v>428399.99999999994</v>
      </c>
      <c r="F54" s="35">
        <f t="shared" si="43"/>
        <v>428399.99999999994</v>
      </c>
      <c r="G54" s="35">
        <f t="shared" si="43"/>
        <v>642599.99999999988</v>
      </c>
      <c r="H54" s="35">
        <f t="shared" si="43"/>
        <v>4284000</v>
      </c>
      <c r="I54" s="35">
        <f t="shared" si="43"/>
        <v>535500</v>
      </c>
      <c r="J54" s="35">
        <f t="shared" si="43"/>
        <v>535500</v>
      </c>
      <c r="K54" s="35">
        <f t="shared" si="43"/>
        <v>535500</v>
      </c>
      <c r="L54" s="35">
        <f t="shared" si="43"/>
        <v>1606500</v>
      </c>
      <c r="M54" s="35">
        <f t="shared" si="43"/>
        <v>535500</v>
      </c>
      <c r="N54" s="35">
        <f t="shared" si="43"/>
        <v>321299.99999999994</v>
      </c>
    </row>
    <row r="55" spans="1:14" x14ac:dyDescent="0.25">
      <c r="A55" s="5" t="str">
        <f t="shared" si="42"/>
        <v xml:space="preserve"> USER FEES</v>
      </c>
      <c r="B55" s="56">
        <v>3570000</v>
      </c>
      <c r="C55" s="35">
        <f t="shared" ref="C55:N55" si="44">IFERROR((+C9+C32)/(+$B9+$B32)*$B55,0)</f>
        <v>297500</v>
      </c>
      <c r="D55" s="35">
        <f t="shared" si="44"/>
        <v>297500</v>
      </c>
      <c r="E55" s="35">
        <f t="shared" si="44"/>
        <v>297500</v>
      </c>
      <c r="F55" s="35">
        <f t="shared" si="44"/>
        <v>297500</v>
      </c>
      <c r="G55" s="35">
        <f t="shared" si="44"/>
        <v>297500</v>
      </c>
      <c r="H55" s="35">
        <f t="shared" si="44"/>
        <v>297500</v>
      </c>
      <c r="I55" s="35">
        <f t="shared" si="44"/>
        <v>297500</v>
      </c>
      <c r="J55" s="35">
        <f t="shared" si="44"/>
        <v>297500</v>
      </c>
      <c r="K55" s="35">
        <f t="shared" si="44"/>
        <v>297500</v>
      </c>
      <c r="L55" s="35">
        <f t="shared" si="44"/>
        <v>297500</v>
      </c>
      <c r="M55" s="35">
        <f t="shared" si="44"/>
        <v>297500</v>
      </c>
      <c r="N55" s="35">
        <f t="shared" si="44"/>
        <v>297500</v>
      </c>
    </row>
    <row r="56" spans="1:14" x14ac:dyDescent="0.25">
      <c r="A56" s="5" t="str">
        <f t="shared" si="42"/>
        <v xml:space="preserve"> SHARED REVENUES - FEDERAL</v>
      </c>
      <c r="B56" s="56">
        <v>1279000</v>
      </c>
      <c r="C56" s="35">
        <f t="shared" ref="C56:N56" si="45">IFERROR((+C10+C33)/(+$B10+$B33)*$B56,0)</f>
        <v>106583.33333333334</v>
      </c>
      <c r="D56" s="35">
        <f t="shared" si="45"/>
        <v>106583.33333333334</v>
      </c>
      <c r="E56" s="35">
        <f t="shared" si="45"/>
        <v>106583.33333333334</v>
      </c>
      <c r="F56" s="35">
        <f t="shared" si="45"/>
        <v>106583.33333333334</v>
      </c>
      <c r="G56" s="35">
        <f t="shared" si="45"/>
        <v>106583.33333333334</v>
      </c>
      <c r="H56" s="35">
        <f t="shared" si="45"/>
        <v>106583.33333333334</v>
      </c>
      <c r="I56" s="35">
        <f t="shared" si="45"/>
        <v>106583.33333333334</v>
      </c>
      <c r="J56" s="35">
        <f t="shared" si="45"/>
        <v>106583.33333333334</v>
      </c>
      <c r="K56" s="35">
        <f t="shared" si="45"/>
        <v>106583.33333333334</v>
      </c>
      <c r="L56" s="35">
        <f t="shared" si="45"/>
        <v>106583.33333333334</v>
      </c>
      <c r="M56" s="35">
        <f t="shared" si="45"/>
        <v>106583.33333333334</v>
      </c>
      <c r="N56" s="35">
        <f t="shared" si="45"/>
        <v>106583.33333333334</v>
      </c>
    </row>
    <row r="57" spans="1:14" x14ac:dyDescent="0.25">
      <c r="A57" s="5" t="str">
        <f t="shared" si="42"/>
        <v xml:space="preserve"> SHARED REVENUES - STATE</v>
      </c>
      <c r="B57" s="56">
        <v>3570000</v>
      </c>
      <c r="C57" s="35">
        <f t="shared" ref="C57:N57" si="46">IFERROR((+C11+C34)/(+$B11+$B34)*$B57,0)</f>
        <v>297500.00000000006</v>
      </c>
      <c r="D57" s="35">
        <f t="shared" si="46"/>
        <v>297500.00000000006</v>
      </c>
      <c r="E57" s="35">
        <f t="shared" si="46"/>
        <v>297500.00000000006</v>
      </c>
      <c r="F57" s="35">
        <f t="shared" si="46"/>
        <v>297500.00000000006</v>
      </c>
      <c r="G57" s="35">
        <f t="shared" si="46"/>
        <v>297500.00000000006</v>
      </c>
      <c r="H57" s="35">
        <f t="shared" si="46"/>
        <v>297500.00000000006</v>
      </c>
      <c r="I57" s="35">
        <f t="shared" si="46"/>
        <v>297500.00000000006</v>
      </c>
      <c r="J57" s="35">
        <f t="shared" si="46"/>
        <v>297500.00000000006</v>
      </c>
      <c r="K57" s="35">
        <f t="shared" si="46"/>
        <v>297500.00000000006</v>
      </c>
      <c r="L57" s="35">
        <f t="shared" si="46"/>
        <v>297500.00000000006</v>
      </c>
      <c r="M57" s="35">
        <f t="shared" si="46"/>
        <v>297500.00000000006</v>
      </c>
      <c r="N57" s="35">
        <f t="shared" si="46"/>
        <v>297500.00000000006</v>
      </c>
    </row>
    <row r="58" spans="1:14" x14ac:dyDescent="0.25">
      <c r="A58" s="5" t="str">
        <f t="shared" si="42"/>
        <v xml:space="preserve"> SHARED REVENUES - LOCAL</v>
      </c>
      <c r="B58" s="56">
        <v>55000</v>
      </c>
      <c r="C58" s="35">
        <f t="shared" ref="C58:N58" si="47">IFERROR((+C12+C35)/(+$B12+$B35)*$B58,0)</f>
        <v>4583.3333333333348</v>
      </c>
      <c r="D58" s="35">
        <f t="shared" si="47"/>
        <v>4583.3333333333348</v>
      </c>
      <c r="E58" s="35">
        <f t="shared" si="47"/>
        <v>4583.3333333333348</v>
      </c>
      <c r="F58" s="35">
        <f t="shared" si="47"/>
        <v>4583.3333333333348</v>
      </c>
      <c r="G58" s="35">
        <f t="shared" si="47"/>
        <v>4583.3333333333348</v>
      </c>
      <c r="H58" s="35">
        <f t="shared" si="47"/>
        <v>4583.3333333333348</v>
      </c>
      <c r="I58" s="35">
        <f t="shared" si="47"/>
        <v>4583.3333333333348</v>
      </c>
      <c r="J58" s="35">
        <f t="shared" si="47"/>
        <v>4583.3333333333348</v>
      </c>
      <c r="K58" s="35">
        <f t="shared" si="47"/>
        <v>4583.3333333333348</v>
      </c>
      <c r="L58" s="35">
        <f t="shared" si="47"/>
        <v>4583.3333333333348</v>
      </c>
      <c r="M58" s="35">
        <f t="shared" si="47"/>
        <v>4583.3333333333348</v>
      </c>
      <c r="N58" s="35">
        <f t="shared" si="47"/>
        <v>4583.3333333333348</v>
      </c>
    </row>
    <row r="59" spans="1:14" x14ac:dyDescent="0.25">
      <c r="A59" s="5" t="str">
        <f t="shared" si="42"/>
        <v xml:space="preserve"> INVESTMENT INCOME</v>
      </c>
      <c r="B59" s="56">
        <v>26000</v>
      </c>
      <c r="C59" s="35">
        <f t="shared" ref="C59:N59" si="48">IFERROR((+C13+C36)/(+$B13+$B36)*$B59,0)</f>
        <v>2166.666666666667</v>
      </c>
      <c r="D59" s="35">
        <f t="shared" si="48"/>
        <v>2166.666666666667</v>
      </c>
      <c r="E59" s="35">
        <f t="shared" si="48"/>
        <v>2166.666666666667</v>
      </c>
      <c r="F59" s="35">
        <f t="shared" si="48"/>
        <v>2166.666666666667</v>
      </c>
      <c r="G59" s="35">
        <f t="shared" si="48"/>
        <v>2166.666666666667</v>
      </c>
      <c r="H59" s="35">
        <f t="shared" si="48"/>
        <v>2166.666666666667</v>
      </c>
      <c r="I59" s="35">
        <f t="shared" si="48"/>
        <v>2166.666666666667</v>
      </c>
      <c r="J59" s="35">
        <f t="shared" si="48"/>
        <v>2166.666666666667</v>
      </c>
      <c r="K59" s="35">
        <f t="shared" si="48"/>
        <v>2166.666666666667</v>
      </c>
      <c r="L59" s="35">
        <f t="shared" si="48"/>
        <v>2166.666666666667</v>
      </c>
      <c r="M59" s="35">
        <f t="shared" si="48"/>
        <v>2166.666666666667</v>
      </c>
      <c r="N59" s="35">
        <f t="shared" si="48"/>
        <v>2166.666666666667</v>
      </c>
    </row>
    <row r="60" spans="1:14" x14ac:dyDescent="0.25">
      <c r="A60" s="5" t="str">
        <f t="shared" ref="A60:A62" si="49">A14</f>
        <v xml:space="preserve"> OTHER INCOME</v>
      </c>
      <c r="B60" s="57">
        <v>15000</v>
      </c>
      <c r="C60" s="35">
        <f t="shared" ref="C60:N62" si="50">IFERROR((+C14+C37)/(+$B14+$B37)*$B60,0)</f>
        <v>1250</v>
      </c>
      <c r="D60" s="35">
        <f t="shared" si="50"/>
        <v>1250</v>
      </c>
      <c r="E60" s="35">
        <f t="shared" si="50"/>
        <v>1250</v>
      </c>
      <c r="F60" s="35">
        <f t="shared" si="50"/>
        <v>1250</v>
      </c>
      <c r="G60" s="35">
        <f t="shared" si="50"/>
        <v>1250</v>
      </c>
      <c r="H60" s="35">
        <f t="shared" si="50"/>
        <v>1250</v>
      </c>
      <c r="I60" s="35">
        <f t="shared" si="50"/>
        <v>1250</v>
      </c>
      <c r="J60" s="35">
        <f t="shared" si="50"/>
        <v>1250</v>
      </c>
      <c r="K60" s="35">
        <f t="shared" si="50"/>
        <v>1250</v>
      </c>
      <c r="L60" s="35">
        <f t="shared" si="50"/>
        <v>1250</v>
      </c>
      <c r="M60" s="35">
        <f t="shared" si="50"/>
        <v>1250</v>
      </c>
      <c r="N60" s="35">
        <f t="shared" si="50"/>
        <v>1250</v>
      </c>
    </row>
    <row r="61" spans="1:14" x14ac:dyDescent="0.25">
      <c r="A61" s="5" t="str">
        <f t="shared" si="49"/>
        <v xml:space="preserve"> OTHER SOURCE</v>
      </c>
      <c r="B61" s="57"/>
      <c r="C61" s="35">
        <f t="shared" si="50"/>
        <v>0</v>
      </c>
      <c r="D61" s="35">
        <f t="shared" si="50"/>
        <v>0</v>
      </c>
      <c r="E61" s="35">
        <f t="shared" si="50"/>
        <v>0</v>
      </c>
      <c r="F61" s="35">
        <f t="shared" si="50"/>
        <v>0</v>
      </c>
      <c r="G61" s="35">
        <f t="shared" si="50"/>
        <v>0</v>
      </c>
      <c r="H61" s="35">
        <f t="shared" si="50"/>
        <v>0</v>
      </c>
      <c r="I61" s="35">
        <f t="shared" si="50"/>
        <v>0</v>
      </c>
      <c r="J61" s="35">
        <f t="shared" si="50"/>
        <v>0</v>
      </c>
      <c r="K61" s="35">
        <f t="shared" si="50"/>
        <v>0</v>
      </c>
      <c r="L61" s="35">
        <f t="shared" si="50"/>
        <v>0</v>
      </c>
      <c r="M61" s="35">
        <f t="shared" si="50"/>
        <v>0</v>
      </c>
      <c r="N61" s="35">
        <f t="shared" si="50"/>
        <v>0</v>
      </c>
    </row>
    <row r="62" spans="1:14" x14ac:dyDescent="0.25">
      <c r="A62" s="5" t="str">
        <f t="shared" si="49"/>
        <v xml:space="preserve"> OTHER SOURCE</v>
      </c>
      <c r="B62" s="57"/>
      <c r="C62" s="35">
        <f t="shared" si="50"/>
        <v>0</v>
      </c>
      <c r="D62" s="35">
        <f t="shared" si="50"/>
        <v>0</v>
      </c>
      <c r="E62" s="35">
        <f t="shared" si="50"/>
        <v>0</v>
      </c>
      <c r="F62" s="35">
        <f t="shared" si="50"/>
        <v>0</v>
      </c>
      <c r="G62" s="35">
        <f t="shared" si="50"/>
        <v>0</v>
      </c>
      <c r="H62" s="35">
        <f t="shared" si="50"/>
        <v>0</v>
      </c>
      <c r="I62" s="35">
        <f t="shared" si="50"/>
        <v>0</v>
      </c>
      <c r="J62" s="35">
        <f t="shared" si="50"/>
        <v>0</v>
      </c>
      <c r="K62" s="35">
        <f t="shared" si="50"/>
        <v>0</v>
      </c>
      <c r="L62" s="35">
        <f t="shared" si="50"/>
        <v>0</v>
      </c>
      <c r="M62" s="35">
        <f t="shared" si="50"/>
        <v>0</v>
      </c>
      <c r="N62" s="35">
        <f t="shared" si="50"/>
        <v>0</v>
      </c>
    </row>
    <row r="63" spans="1:14" x14ac:dyDescent="0.25">
      <c r="A63" s="45" t="s">
        <v>20</v>
      </c>
      <c r="B63" s="46">
        <f>SUM(B54:B62)</f>
        <v>19225000</v>
      </c>
      <c r="C63" s="46">
        <f>SUM(C54:C62)</f>
        <v>1137983.3333333335</v>
      </c>
      <c r="D63" s="46">
        <f t="shared" ref="D63" si="51">SUM(D54:D62)</f>
        <v>1137983.3333333335</v>
      </c>
      <c r="E63" s="46">
        <f t="shared" ref="E63" si="52">SUM(E54:E62)</f>
        <v>1137983.3333333335</v>
      </c>
      <c r="F63" s="46">
        <f t="shared" ref="F63" si="53">SUM(F54:F62)</f>
        <v>1137983.3333333335</v>
      </c>
      <c r="G63" s="46">
        <f t="shared" ref="G63" si="54">SUM(G54:G62)</f>
        <v>1352183.3333333333</v>
      </c>
      <c r="H63" s="46">
        <f t="shared" ref="H63" si="55">SUM(H54:H62)</f>
        <v>4993583.333333333</v>
      </c>
      <c r="I63" s="46">
        <f t="shared" ref="I63" si="56">SUM(I54:I62)</f>
        <v>1245083.3333333335</v>
      </c>
      <c r="J63" s="46">
        <f t="shared" ref="J63" si="57">SUM(J54:J62)</f>
        <v>1245083.3333333335</v>
      </c>
      <c r="K63" s="46">
        <f t="shared" ref="K63" si="58">SUM(K54:K62)</f>
        <v>1245083.3333333335</v>
      </c>
      <c r="L63" s="46">
        <f t="shared" ref="L63" si="59">SUM(L54:L62)</f>
        <v>2316083.3333333335</v>
      </c>
      <c r="M63" s="46">
        <f t="shared" ref="M63" si="60">SUM(M54:M62)</f>
        <v>1245083.3333333335</v>
      </c>
      <c r="N63" s="46">
        <f t="shared" ref="N63" si="61">SUM(N54:N62)</f>
        <v>1030883.3333333335</v>
      </c>
    </row>
    <row r="64" spans="1:14" x14ac:dyDescent="0.25">
      <c r="A64" s="11" t="s">
        <v>19</v>
      </c>
      <c r="B64" s="35"/>
      <c r="C64" s="35"/>
      <c r="D64" s="35"/>
      <c r="E64" s="35"/>
      <c r="F64" s="35"/>
      <c r="G64" s="35"/>
      <c r="H64" s="35"/>
      <c r="I64" s="35"/>
      <c r="J64" s="35"/>
      <c r="K64" s="35"/>
      <c r="L64" s="35"/>
      <c r="M64" s="35"/>
      <c r="N64" s="35"/>
    </row>
    <row r="65" spans="1:14" x14ac:dyDescent="0.25">
      <c r="A65" s="5" t="str">
        <f>A19</f>
        <v xml:space="preserve"> PAYROLL &amp; BENEFITS</v>
      </c>
      <c r="B65" s="56">
        <v>12500000</v>
      </c>
      <c r="C65" s="35">
        <f t="shared" ref="C65:N65" si="62">IFERROR((+C19+C42)/(+$B19+$B42)*$B65,0)</f>
        <v>961538.46153846139</v>
      </c>
      <c r="D65" s="35">
        <f t="shared" si="62"/>
        <v>961538.46153846139</v>
      </c>
      <c r="E65" s="35">
        <f t="shared" si="62"/>
        <v>961538.46153846139</v>
      </c>
      <c r="F65" s="35">
        <f t="shared" si="62"/>
        <v>1442307.6923076925</v>
      </c>
      <c r="G65" s="35">
        <f t="shared" si="62"/>
        <v>961538.46153846139</v>
      </c>
      <c r="H65" s="35">
        <f t="shared" si="62"/>
        <v>961538.46153846139</v>
      </c>
      <c r="I65" s="35">
        <f t="shared" si="62"/>
        <v>961538.46153846139</v>
      </c>
      <c r="J65" s="35">
        <f t="shared" si="62"/>
        <v>961538.46153846139</v>
      </c>
      <c r="K65" s="35">
        <f t="shared" si="62"/>
        <v>961538.46153846139</v>
      </c>
      <c r="L65" s="35">
        <f t="shared" si="62"/>
        <v>961538.46153846139</v>
      </c>
      <c r="M65" s="35">
        <f t="shared" si="62"/>
        <v>1442307.6923076925</v>
      </c>
      <c r="N65" s="35">
        <f t="shared" si="62"/>
        <v>961538.46153846139</v>
      </c>
    </row>
    <row r="66" spans="1:14" x14ac:dyDescent="0.25">
      <c r="A66" s="5" t="str">
        <f>A20</f>
        <v xml:space="preserve"> GENERAL ADMINISTRATIVE</v>
      </c>
      <c r="B66" s="56">
        <v>2494000</v>
      </c>
      <c r="C66" s="35">
        <f t="shared" ref="C66:N66" si="63">IFERROR((+C20+C43)/(+$B20+$B43)*$B66,0)</f>
        <v>207833.33333333331</v>
      </c>
      <c r="D66" s="35">
        <f t="shared" si="63"/>
        <v>207833.33333333331</v>
      </c>
      <c r="E66" s="35">
        <f t="shared" si="63"/>
        <v>207833.33333333331</v>
      </c>
      <c r="F66" s="35">
        <f t="shared" si="63"/>
        <v>207833.33333333331</v>
      </c>
      <c r="G66" s="35">
        <f t="shared" si="63"/>
        <v>207833.33333333331</v>
      </c>
      <c r="H66" s="35">
        <f t="shared" si="63"/>
        <v>207833.33333333331</v>
      </c>
      <c r="I66" s="35">
        <f t="shared" si="63"/>
        <v>207833.33333333331</v>
      </c>
      <c r="J66" s="35">
        <f t="shared" si="63"/>
        <v>207833.33333333331</v>
      </c>
      <c r="K66" s="35">
        <f t="shared" si="63"/>
        <v>207833.33333333331</v>
      </c>
      <c r="L66" s="35">
        <f t="shared" si="63"/>
        <v>207833.33333333331</v>
      </c>
      <c r="M66" s="35">
        <f t="shared" si="63"/>
        <v>207833.33333333331</v>
      </c>
      <c r="N66" s="35">
        <f t="shared" si="63"/>
        <v>207833.33333333331</v>
      </c>
    </row>
    <row r="67" spans="1:14" x14ac:dyDescent="0.25">
      <c r="A67" s="5" t="str">
        <f>A21</f>
        <v xml:space="preserve"> COMMODITIES</v>
      </c>
      <c r="B67" s="56">
        <v>3525000</v>
      </c>
      <c r="C67" s="35">
        <f t="shared" ref="C67:N67" si="64">IFERROR((+C21+C44)/(+$B21+$B44)*$B67,0)</f>
        <v>293750</v>
      </c>
      <c r="D67" s="35">
        <f t="shared" si="64"/>
        <v>293750</v>
      </c>
      <c r="E67" s="35">
        <f t="shared" si="64"/>
        <v>293750</v>
      </c>
      <c r="F67" s="35">
        <f t="shared" si="64"/>
        <v>293750</v>
      </c>
      <c r="G67" s="35">
        <f t="shared" si="64"/>
        <v>293750</v>
      </c>
      <c r="H67" s="35">
        <f t="shared" si="64"/>
        <v>293750</v>
      </c>
      <c r="I67" s="35">
        <f t="shared" si="64"/>
        <v>293750</v>
      </c>
      <c r="J67" s="35">
        <f t="shared" si="64"/>
        <v>293750</v>
      </c>
      <c r="K67" s="35">
        <f t="shared" si="64"/>
        <v>293750</v>
      </c>
      <c r="L67" s="35">
        <f t="shared" si="64"/>
        <v>293750</v>
      </c>
      <c r="M67" s="35">
        <f t="shared" si="64"/>
        <v>293750</v>
      </c>
      <c r="N67" s="35">
        <f t="shared" si="64"/>
        <v>293750</v>
      </c>
    </row>
    <row r="68" spans="1:14" x14ac:dyDescent="0.25">
      <c r="A68" s="5" t="str">
        <f>A22</f>
        <v xml:space="preserve"> DEBT SERVICE</v>
      </c>
      <c r="B68" s="56">
        <v>128000</v>
      </c>
      <c r="C68" s="35">
        <f t="shared" ref="C68:N68" si="65">IFERROR((+C22+C45)/(+$B22+$B45)*$B68,0)</f>
        <v>10666.666666666664</v>
      </c>
      <c r="D68" s="35">
        <f t="shared" si="65"/>
        <v>10666.666666666664</v>
      </c>
      <c r="E68" s="35">
        <f t="shared" si="65"/>
        <v>10666.666666666664</v>
      </c>
      <c r="F68" s="35">
        <f t="shared" si="65"/>
        <v>10666.666666666664</v>
      </c>
      <c r="G68" s="35">
        <f t="shared" si="65"/>
        <v>10666.666666666664</v>
      </c>
      <c r="H68" s="35">
        <f t="shared" si="65"/>
        <v>10666.666666666664</v>
      </c>
      <c r="I68" s="35">
        <f t="shared" si="65"/>
        <v>10666.666666666664</v>
      </c>
      <c r="J68" s="35">
        <f t="shared" si="65"/>
        <v>10666.666666666664</v>
      </c>
      <c r="K68" s="35">
        <f t="shared" si="65"/>
        <v>10666.666666666664</v>
      </c>
      <c r="L68" s="35">
        <f t="shared" si="65"/>
        <v>10666.666666666664</v>
      </c>
      <c r="M68" s="35">
        <f t="shared" si="65"/>
        <v>10666.666666666664</v>
      </c>
      <c r="N68" s="35">
        <f t="shared" si="65"/>
        <v>10666.666666666664</v>
      </c>
    </row>
    <row r="69" spans="1:14" x14ac:dyDescent="0.25">
      <c r="A69" s="5" t="str">
        <f t="shared" ref="A69:A71" si="66">A23</f>
        <v xml:space="preserve"> OTHER EXPENSE</v>
      </c>
      <c r="B69" s="57">
        <v>33000</v>
      </c>
      <c r="C69" s="35">
        <f t="shared" ref="C69:N71" si="67">IFERROR((+C23+C46)/(+$B23+$B46)*$B69,0)</f>
        <v>2750.0000000000005</v>
      </c>
      <c r="D69" s="35">
        <f t="shared" si="67"/>
        <v>2750.0000000000005</v>
      </c>
      <c r="E69" s="35">
        <f t="shared" si="67"/>
        <v>2750.0000000000005</v>
      </c>
      <c r="F69" s="35">
        <f t="shared" si="67"/>
        <v>2750.0000000000005</v>
      </c>
      <c r="G69" s="35">
        <f t="shared" si="67"/>
        <v>2750.0000000000005</v>
      </c>
      <c r="H69" s="35">
        <f t="shared" si="67"/>
        <v>2750.0000000000005</v>
      </c>
      <c r="I69" s="35">
        <f t="shared" si="67"/>
        <v>2750.0000000000005</v>
      </c>
      <c r="J69" s="35">
        <f t="shared" si="67"/>
        <v>2750.0000000000005</v>
      </c>
      <c r="K69" s="35">
        <f t="shared" si="67"/>
        <v>2750.0000000000005</v>
      </c>
      <c r="L69" s="35">
        <f t="shared" si="67"/>
        <v>2750.0000000000005</v>
      </c>
      <c r="M69" s="35">
        <f t="shared" si="67"/>
        <v>2750.0000000000005</v>
      </c>
      <c r="N69" s="35">
        <f t="shared" si="67"/>
        <v>2750.0000000000005</v>
      </c>
    </row>
    <row r="70" spans="1:14" x14ac:dyDescent="0.25">
      <c r="A70" s="5" t="str">
        <f t="shared" si="66"/>
        <v xml:space="preserve"> OTHER USE</v>
      </c>
      <c r="B70" s="57"/>
      <c r="C70" s="35">
        <f t="shared" si="67"/>
        <v>0</v>
      </c>
      <c r="D70" s="35">
        <f t="shared" si="67"/>
        <v>0</v>
      </c>
      <c r="E70" s="35">
        <f t="shared" si="67"/>
        <v>0</v>
      </c>
      <c r="F70" s="35">
        <f t="shared" si="67"/>
        <v>0</v>
      </c>
      <c r="G70" s="35">
        <f t="shared" si="67"/>
        <v>0</v>
      </c>
      <c r="H70" s="35">
        <f t="shared" si="67"/>
        <v>0</v>
      </c>
      <c r="I70" s="35">
        <f t="shared" si="67"/>
        <v>0</v>
      </c>
      <c r="J70" s="35">
        <f t="shared" si="67"/>
        <v>0</v>
      </c>
      <c r="K70" s="35">
        <f t="shared" si="67"/>
        <v>0</v>
      </c>
      <c r="L70" s="35">
        <f t="shared" si="67"/>
        <v>0</v>
      </c>
      <c r="M70" s="35">
        <f t="shared" si="67"/>
        <v>0</v>
      </c>
      <c r="N70" s="35">
        <f t="shared" si="67"/>
        <v>0</v>
      </c>
    </row>
    <row r="71" spans="1:14" x14ac:dyDescent="0.25">
      <c r="A71" s="5" t="str">
        <f t="shared" si="66"/>
        <v xml:space="preserve"> OTHER USE</v>
      </c>
      <c r="B71" s="57"/>
      <c r="C71" s="35">
        <f t="shared" si="67"/>
        <v>0</v>
      </c>
      <c r="D71" s="35">
        <f t="shared" si="67"/>
        <v>0</v>
      </c>
      <c r="E71" s="35">
        <f t="shared" si="67"/>
        <v>0</v>
      </c>
      <c r="F71" s="35">
        <f t="shared" si="67"/>
        <v>0</v>
      </c>
      <c r="G71" s="35">
        <f t="shared" si="67"/>
        <v>0</v>
      </c>
      <c r="H71" s="35">
        <f t="shared" si="67"/>
        <v>0</v>
      </c>
      <c r="I71" s="35">
        <f t="shared" si="67"/>
        <v>0</v>
      </c>
      <c r="J71" s="35">
        <f t="shared" si="67"/>
        <v>0</v>
      </c>
      <c r="K71" s="35">
        <f t="shared" si="67"/>
        <v>0</v>
      </c>
      <c r="L71" s="35">
        <f t="shared" si="67"/>
        <v>0</v>
      </c>
      <c r="M71" s="35">
        <f t="shared" si="67"/>
        <v>0</v>
      </c>
      <c r="N71" s="35">
        <f t="shared" si="67"/>
        <v>0</v>
      </c>
    </row>
    <row r="72" spans="1:14" x14ac:dyDescent="0.25">
      <c r="A72" s="45" t="s">
        <v>21</v>
      </c>
      <c r="B72" s="46">
        <f>SUM(B65:B71)</f>
        <v>18680000</v>
      </c>
      <c r="C72" s="46">
        <f t="shared" ref="C72" si="68">SUM(C65:C71)</f>
        <v>1476538.4615384615</v>
      </c>
      <c r="D72" s="46">
        <f t="shared" ref="D72" si="69">SUM(D65:D71)</f>
        <v>1476538.4615384615</v>
      </c>
      <c r="E72" s="46">
        <f t="shared" ref="E72" si="70">SUM(E65:E71)</f>
        <v>1476538.4615384615</v>
      </c>
      <c r="F72" s="46">
        <f t="shared" ref="F72" si="71">SUM(F65:F71)</f>
        <v>1957307.6923076925</v>
      </c>
      <c r="G72" s="46">
        <f t="shared" ref="G72" si="72">SUM(G65:G71)</f>
        <v>1476538.4615384615</v>
      </c>
      <c r="H72" s="46">
        <f t="shared" ref="H72" si="73">SUM(H65:H71)</f>
        <v>1476538.4615384615</v>
      </c>
      <c r="I72" s="46">
        <f t="shared" ref="I72" si="74">SUM(I65:I71)</f>
        <v>1476538.4615384615</v>
      </c>
      <c r="J72" s="46">
        <f t="shared" ref="J72" si="75">SUM(J65:J71)</f>
        <v>1476538.4615384615</v>
      </c>
      <c r="K72" s="46">
        <f t="shared" ref="K72" si="76">SUM(K65:K71)</f>
        <v>1476538.4615384615</v>
      </c>
      <c r="L72" s="46">
        <f t="shared" ref="L72" si="77">SUM(L65:L71)</f>
        <v>1476538.4615384615</v>
      </c>
      <c r="M72" s="46">
        <f t="shared" ref="M72" si="78">SUM(M65:M71)</f>
        <v>1957307.6923076925</v>
      </c>
      <c r="N72" s="46">
        <f t="shared" ref="N72" si="79">SUM(N65:N71)</f>
        <v>1476538.4615384615</v>
      </c>
    </row>
    <row r="73" spans="1:14" ht="15.75" thickBot="1" x14ac:dyDescent="0.3">
      <c r="A73" s="48" t="s">
        <v>22</v>
      </c>
      <c r="B73" s="49">
        <f t="shared" ref="B73:N73" si="80">B63-B72</f>
        <v>545000</v>
      </c>
      <c r="C73" s="49">
        <f t="shared" si="80"/>
        <v>-338555.12820512801</v>
      </c>
      <c r="D73" s="49">
        <f t="shared" si="80"/>
        <v>-338555.12820512801</v>
      </c>
      <c r="E73" s="49">
        <f t="shared" si="80"/>
        <v>-338555.12820512801</v>
      </c>
      <c r="F73" s="49">
        <f t="shared" si="80"/>
        <v>-819324.358974359</v>
      </c>
      <c r="G73" s="49">
        <f t="shared" si="80"/>
        <v>-124355.12820512825</v>
      </c>
      <c r="H73" s="49">
        <f t="shared" si="80"/>
        <v>3517044.8717948715</v>
      </c>
      <c r="I73" s="49">
        <f t="shared" si="80"/>
        <v>-231455.12820512801</v>
      </c>
      <c r="J73" s="49">
        <f t="shared" si="80"/>
        <v>-231455.12820512801</v>
      </c>
      <c r="K73" s="49">
        <f t="shared" si="80"/>
        <v>-231455.12820512801</v>
      </c>
      <c r="L73" s="49">
        <f t="shared" si="80"/>
        <v>839544.87179487199</v>
      </c>
      <c r="M73" s="49">
        <f t="shared" si="80"/>
        <v>-712224.358974359</v>
      </c>
      <c r="N73" s="49">
        <f t="shared" si="80"/>
        <v>-445655.12820512801</v>
      </c>
    </row>
    <row r="74" spans="1:14" x14ac:dyDescent="0.25">
      <c r="A74" s="42" t="s">
        <v>30</v>
      </c>
      <c r="B74" s="42"/>
      <c r="C74" s="50"/>
      <c r="D74" s="50"/>
      <c r="E74" s="50"/>
      <c r="F74" s="50"/>
      <c r="G74" s="50"/>
      <c r="H74" s="50"/>
      <c r="I74" s="50"/>
    </row>
    <row r="75" spans="1:14" x14ac:dyDescent="0.25">
      <c r="A75" s="43"/>
      <c r="B75" s="44" t="str">
        <f>B52</f>
        <v>TOTAL-2019</v>
      </c>
      <c r="C75" s="44" t="str">
        <f t="shared" ref="C75:N75" si="81">C52</f>
        <v>JUL-2018</v>
      </c>
      <c r="D75" s="44" t="str">
        <f t="shared" si="81"/>
        <v>AUG-2018</v>
      </c>
      <c r="E75" s="44" t="str">
        <f t="shared" si="81"/>
        <v>SEP-2018</v>
      </c>
      <c r="F75" s="44" t="str">
        <f t="shared" si="81"/>
        <v>OCT-2018</v>
      </c>
      <c r="G75" s="44" t="str">
        <f t="shared" si="81"/>
        <v>NOV-2018</v>
      </c>
      <c r="H75" s="44" t="str">
        <f t="shared" si="81"/>
        <v>DEC-2018</v>
      </c>
      <c r="I75" s="44" t="str">
        <f t="shared" si="81"/>
        <v>JAN-2019</v>
      </c>
      <c r="J75" s="44" t="str">
        <f t="shared" si="81"/>
        <v>FEB-2019</v>
      </c>
      <c r="K75" s="44" t="str">
        <f t="shared" si="81"/>
        <v>MAR-2019</v>
      </c>
      <c r="L75" s="44" t="str">
        <f t="shared" si="81"/>
        <v>APR-2019</v>
      </c>
      <c r="M75" s="44" t="str">
        <f t="shared" si="81"/>
        <v>MAY-2019</v>
      </c>
      <c r="N75" s="44" t="str">
        <f t="shared" si="81"/>
        <v>JUN-2019</v>
      </c>
    </row>
    <row r="76" spans="1:14" x14ac:dyDescent="0.25">
      <c r="A76" s="11" t="s">
        <v>18</v>
      </c>
      <c r="B76" s="11"/>
    </row>
    <row r="77" spans="1:14" x14ac:dyDescent="0.25">
      <c r="A77" s="5" t="str">
        <f t="shared" ref="A77:A82" si="82">A8</f>
        <v xml:space="preserve"> TAX RECEIPTS</v>
      </c>
      <c r="B77" s="9">
        <f>SUM(C77:N77)</f>
        <v>10710000</v>
      </c>
      <c r="C77" s="56">
        <f>C54</f>
        <v>428399.99999999994</v>
      </c>
      <c r="D77" s="56">
        <f t="shared" ref="D77:N77" si="83">D54</f>
        <v>428399.99999999994</v>
      </c>
      <c r="E77" s="56">
        <f t="shared" si="83"/>
        <v>428399.99999999994</v>
      </c>
      <c r="F77" s="56">
        <f t="shared" si="83"/>
        <v>428399.99999999994</v>
      </c>
      <c r="G77" s="56">
        <f t="shared" si="83"/>
        <v>642599.99999999988</v>
      </c>
      <c r="H77" s="56">
        <f t="shared" si="83"/>
        <v>4284000</v>
      </c>
      <c r="I77" s="56">
        <f t="shared" si="83"/>
        <v>535500</v>
      </c>
      <c r="J77" s="56">
        <f t="shared" si="83"/>
        <v>535500</v>
      </c>
      <c r="K77" s="56">
        <f t="shared" si="83"/>
        <v>535500</v>
      </c>
      <c r="L77" s="56">
        <f t="shared" si="83"/>
        <v>1606500</v>
      </c>
      <c r="M77" s="56">
        <f t="shared" si="83"/>
        <v>535500</v>
      </c>
      <c r="N77" s="56">
        <f t="shared" si="83"/>
        <v>321299.99999999994</v>
      </c>
    </row>
    <row r="78" spans="1:14" x14ac:dyDescent="0.25">
      <c r="A78" s="5" t="str">
        <f t="shared" si="82"/>
        <v xml:space="preserve"> USER FEES</v>
      </c>
      <c r="B78" s="9">
        <f t="shared" ref="B78:B85" si="84">SUM(C78:N78)</f>
        <v>3570000</v>
      </c>
      <c r="C78" s="56">
        <f t="shared" ref="C78:N78" si="85">C55</f>
        <v>297500</v>
      </c>
      <c r="D78" s="56">
        <f t="shared" si="85"/>
        <v>297500</v>
      </c>
      <c r="E78" s="56">
        <f t="shared" si="85"/>
        <v>297500</v>
      </c>
      <c r="F78" s="56">
        <f t="shared" si="85"/>
        <v>297500</v>
      </c>
      <c r="G78" s="56">
        <f t="shared" si="85"/>
        <v>297500</v>
      </c>
      <c r="H78" s="56">
        <f t="shared" si="85"/>
        <v>297500</v>
      </c>
      <c r="I78" s="56">
        <f t="shared" si="85"/>
        <v>297500</v>
      </c>
      <c r="J78" s="56">
        <f t="shared" si="85"/>
        <v>297500</v>
      </c>
      <c r="K78" s="56">
        <f t="shared" si="85"/>
        <v>297500</v>
      </c>
      <c r="L78" s="56">
        <f t="shared" si="85"/>
        <v>297500</v>
      </c>
      <c r="M78" s="56">
        <f t="shared" si="85"/>
        <v>297500</v>
      </c>
      <c r="N78" s="56">
        <f t="shared" si="85"/>
        <v>297500</v>
      </c>
    </row>
    <row r="79" spans="1:14" x14ac:dyDescent="0.25">
      <c r="A79" s="5" t="str">
        <f t="shared" si="82"/>
        <v xml:space="preserve"> SHARED REVENUES - FEDERAL</v>
      </c>
      <c r="B79" s="9">
        <f t="shared" si="84"/>
        <v>1279000</v>
      </c>
      <c r="C79" s="56">
        <f t="shared" ref="C79:N79" si="86">C56</f>
        <v>106583.33333333334</v>
      </c>
      <c r="D79" s="56">
        <f t="shared" si="86"/>
        <v>106583.33333333334</v>
      </c>
      <c r="E79" s="56">
        <f t="shared" si="86"/>
        <v>106583.33333333334</v>
      </c>
      <c r="F79" s="56">
        <f t="shared" si="86"/>
        <v>106583.33333333334</v>
      </c>
      <c r="G79" s="56">
        <f t="shared" si="86"/>
        <v>106583.33333333334</v>
      </c>
      <c r="H79" s="56">
        <f t="shared" si="86"/>
        <v>106583.33333333334</v>
      </c>
      <c r="I79" s="56">
        <f t="shared" si="86"/>
        <v>106583.33333333334</v>
      </c>
      <c r="J79" s="56">
        <f t="shared" si="86"/>
        <v>106583.33333333334</v>
      </c>
      <c r="K79" s="56">
        <f t="shared" si="86"/>
        <v>106583.33333333334</v>
      </c>
      <c r="L79" s="56">
        <f t="shared" si="86"/>
        <v>106583.33333333334</v>
      </c>
      <c r="M79" s="56">
        <f t="shared" si="86"/>
        <v>106583.33333333334</v>
      </c>
      <c r="N79" s="56">
        <f t="shared" si="86"/>
        <v>106583.33333333334</v>
      </c>
    </row>
    <row r="80" spans="1:14" x14ac:dyDescent="0.25">
      <c r="A80" s="5" t="str">
        <f t="shared" si="82"/>
        <v xml:space="preserve"> SHARED REVENUES - STATE</v>
      </c>
      <c r="B80" s="9">
        <f t="shared" si="84"/>
        <v>3570000.0000000005</v>
      </c>
      <c r="C80" s="56">
        <f t="shared" ref="C80:N80" si="87">C57</f>
        <v>297500.00000000006</v>
      </c>
      <c r="D80" s="56">
        <f t="shared" si="87"/>
        <v>297500.00000000006</v>
      </c>
      <c r="E80" s="56">
        <f t="shared" si="87"/>
        <v>297500.00000000006</v>
      </c>
      <c r="F80" s="56">
        <f t="shared" si="87"/>
        <v>297500.00000000006</v>
      </c>
      <c r="G80" s="56">
        <f t="shared" si="87"/>
        <v>297500.00000000006</v>
      </c>
      <c r="H80" s="56">
        <f t="shared" si="87"/>
        <v>297500.00000000006</v>
      </c>
      <c r="I80" s="56">
        <f t="shared" si="87"/>
        <v>297500.00000000006</v>
      </c>
      <c r="J80" s="56">
        <f t="shared" si="87"/>
        <v>297500.00000000006</v>
      </c>
      <c r="K80" s="56">
        <f t="shared" si="87"/>
        <v>297500.00000000006</v>
      </c>
      <c r="L80" s="56">
        <f t="shared" si="87"/>
        <v>297500.00000000006</v>
      </c>
      <c r="M80" s="56">
        <f t="shared" si="87"/>
        <v>297500.00000000006</v>
      </c>
      <c r="N80" s="56">
        <f t="shared" si="87"/>
        <v>297500.00000000006</v>
      </c>
    </row>
    <row r="81" spans="1:14" x14ac:dyDescent="0.25">
      <c r="A81" s="5" t="str">
        <f t="shared" si="82"/>
        <v xml:space="preserve"> SHARED REVENUES - LOCAL</v>
      </c>
      <c r="B81" s="9">
        <f t="shared" si="84"/>
        <v>55000.000000000022</v>
      </c>
      <c r="C81" s="56">
        <f t="shared" ref="C81:N81" si="88">C58</f>
        <v>4583.3333333333348</v>
      </c>
      <c r="D81" s="56">
        <f t="shared" si="88"/>
        <v>4583.3333333333348</v>
      </c>
      <c r="E81" s="56">
        <f t="shared" si="88"/>
        <v>4583.3333333333348</v>
      </c>
      <c r="F81" s="56">
        <f t="shared" si="88"/>
        <v>4583.3333333333348</v>
      </c>
      <c r="G81" s="56">
        <f t="shared" si="88"/>
        <v>4583.3333333333348</v>
      </c>
      <c r="H81" s="56">
        <f t="shared" si="88"/>
        <v>4583.3333333333348</v>
      </c>
      <c r="I81" s="56">
        <f t="shared" si="88"/>
        <v>4583.3333333333348</v>
      </c>
      <c r="J81" s="56">
        <f t="shared" si="88"/>
        <v>4583.3333333333348</v>
      </c>
      <c r="K81" s="56">
        <f t="shared" si="88"/>
        <v>4583.3333333333348</v>
      </c>
      <c r="L81" s="56">
        <f t="shared" si="88"/>
        <v>4583.3333333333348</v>
      </c>
      <c r="M81" s="56">
        <f t="shared" si="88"/>
        <v>4583.3333333333348</v>
      </c>
      <c r="N81" s="56">
        <f t="shared" si="88"/>
        <v>4583.3333333333348</v>
      </c>
    </row>
    <row r="82" spans="1:14" x14ac:dyDescent="0.25">
      <c r="A82" s="5" t="str">
        <f t="shared" si="82"/>
        <v xml:space="preserve"> INVESTMENT INCOME</v>
      </c>
      <c r="B82" s="9">
        <f t="shared" si="84"/>
        <v>26000.000000000011</v>
      </c>
      <c r="C82" s="56">
        <f t="shared" ref="C82:N82" si="89">C59</f>
        <v>2166.666666666667</v>
      </c>
      <c r="D82" s="56">
        <f t="shared" si="89"/>
        <v>2166.666666666667</v>
      </c>
      <c r="E82" s="56">
        <f t="shared" si="89"/>
        <v>2166.666666666667</v>
      </c>
      <c r="F82" s="56">
        <f t="shared" si="89"/>
        <v>2166.666666666667</v>
      </c>
      <c r="G82" s="56">
        <f t="shared" si="89"/>
        <v>2166.666666666667</v>
      </c>
      <c r="H82" s="56">
        <f t="shared" si="89"/>
        <v>2166.666666666667</v>
      </c>
      <c r="I82" s="56">
        <f t="shared" si="89"/>
        <v>2166.666666666667</v>
      </c>
      <c r="J82" s="56">
        <f t="shared" si="89"/>
        <v>2166.666666666667</v>
      </c>
      <c r="K82" s="56">
        <f t="shared" si="89"/>
        <v>2166.666666666667</v>
      </c>
      <c r="L82" s="56">
        <f t="shared" si="89"/>
        <v>2166.666666666667</v>
      </c>
      <c r="M82" s="56">
        <f t="shared" si="89"/>
        <v>2166.666666666667</v>
      </c>
      <c r="N82" s="56">
        <f t="shared" si="89"/>
        <v>2166.666666666667</v>
      </c>
    </row>
    <row r="83" spans="1:14" x14ac:dyDescent="0.25">
      <c r="A83" s="5" t="str">
        <f t="shared" ref="A83:A85" si="90">A14</f>
        <v xml:space="preserve"> OTHER INCOME</v>
      </c>
      <c r="B83" s="9">
        <f t="shared" ref="B83" si="91">SUM(C83:N83)</f>
        <v>15000</v>
      </c>
      <c r="C83" s="56">
        <f t="shared" ref="C83:N85" si="92">C60</f>
        <v>1250</v>
      </c>
      <c r="D83" s="56">
        <f t="shared" si="92"/>
        <v>1250</v>
      </c>
      <c r="E83" s="56">
        <f t="shared" si="92"/>
        <v>1250</v>
      </c>
      <c r="F83" s="56">
        <f t="shared" si="92"/>
        <v>1250</v>
      </c>
      <c r="G83" s="56">
        <f t="shared" si="92"/>
        <v>1250</v>
      </c>
      <c r="H83" s="56">
        <f t="shared" si="92"/>
        <v>1250</v>
      </c>
      <c r="I83" s="56">
        <f t="shared" si="92"/>
        <v>1250</v>
      </c>
      <c r="J83" s="56">
        <f t="shared" si="92"/>
        <v>1250</v>
      </c>
      <c r="K83" s="56">
        <f t="shared" si="92"/>
        <v>1250</v>
      </c>
      <c r="L83" s="56">
        <f t="shared" si="92"/>
        <v>1250</v>
      </c>
      <c r="M83" s="56">
        <f t="shared" si="92"/>
        <v>1250</v>
      </c>
      <c r="N83" s="56">
        <f t="shared" si="92"/>
        <v>1250</v>
      </c>
    </row>
    <row r="84" spans="1:14" x14ac:dyDescent="0.25">
      <c r="A84" s="5" t="str">
        <f t="shared" si="90"/>
        <v xml:space="preserve"> OTHER SOURCE</v>
      </c>
      <c r="B84" s="9">
        <f t="shared" ref="B84" si="93">SUM(C84:N84)</f>
        <v>0</v>
      </c>
      <c r="C84" s="56">
        <f t="shared" si="92"/>
        <v>0</v>
      </c>
      <c r="D84" s="56">
        <f t="shared" si="92"/>
        <v>0</v>
      </c>
      <c r="E84" s="56">
        <f t="shared" si="92"/>
        <v>0</v>
      </c>
      <c r="F84" s="56">
        <f t="shared" si="92"/>
        <v>0</v>
      </c>
      <c r="G84" s="56">
        <f t="shared" si="92"/>
        <v>0</v>
      </c>
      <c r="H84" s="56">
        <f t="shared" si="92"/>
        <v>0</v>
      </c>
      <c r="I84" s="56">
        <f t="shared" si="92"/>
        <v>0</v>
      </c>
      <c r="J84" s="56">
        <f t="shared" si="92"/>
        <v>0</v>
      </c>
      <c r="K84" s="56">
        <f t="shared" si="92"/>
        <v>0</v>
      </c>
      <c r="L84" s="56">
        <f t="shared" si="92"/>
        <v>0</v>
      </c>
      <c r="M84" s="56">
        <f t="shared" si="92"/>
        <v>0</v>
      </c>
      <c r="N84" s="56">
        <f t="shared" si="92"/>
        <v>0</v>
      </c>
    </row>
    <row r="85" spans="1:14" x14ac:dyDescent="0.25">
      <c r="A85" s="5" t="str">
        <f t="shared" si="90"/>
        <v xml:space="preserve"> OTHER SOURCE</v>
      </c>
      <c r="B85" s="9">
        <f t="shared" si="84"/>
        <v>0</v>
      </c>
      <c r="C85" s="56">
        <f t="shared" si="92"/>
        <v>0</v>
      </c>
      <c r="D85" s="56">
        <f t="shared" si="92"/>
        <v>0</v>
      </c>
      <c r="E85" s="56">
        <f t="shared" si="92"/>
        <v>0</v>
      </c>
      <c r="F85" s="56">
        <f t="shared" si="92"/>
        <v>0</v>
      </c>
      <c r="G85" s="56">
        <f t="shared" si="92"/>
        <v>0</v>
      </c>
      <c r="H85" s="56">
        <f t="shared" si="92"/>
        <v>0</v>
      </c>
      <c r="I85" s="56">
        <f t="shared" si="92"/>
        <v>0</v>
      </c>
      <c r="J85" s="56">
        <f t="shared" si="92"/>
        <v>0</v>
      </c>
      <c r="K85" s="56">
        <f t="shared" si="92"/>
        <v>0</v>
      </c>
      <c r="L85" s="56">
        <f t="shared" si="92"/>
        <v>0</v>
      </c>
      <c r="M85" s="56">
        <f t="shared" si="92"/>
        <v>0</v>
      </c>
      <c r="N85" s="56">
        <f t="shared" si="92"/>
        <v>0</v>
      </c>
    </row>
    <row r="86" spans="1:14" x14ac:dyDescent="0.25">
      <c r="A86" s="45" t="s">
        <v>20</v>
      </c>
      <c r="B86" s="46">
        <f>SUM(B77:B85)</f>
        <v>19225000</v>
      </c>
      <c r="C86" s="46">
        <f>SUM(C77:C85)</f>
        <v>1137983.3333333335</v>
      </c>
      <c r="D86" s="46">
        <f t="shared" ref="D86" si="94">SUM(D77:D85)</f>
        <v>1137983.3333333335</v>
      </c>
      <c r="E86" s="46">
        <f t="shared" ref="E86" si="95">SUM(E77:E85)</f>
        <v>1137983.3333333335</v>
      </c>
      <c r="F86" s="46">
        <f t="shared" ref="F86" si="96">SUM(F77:F85)</f>
        <v>1137983.3333333335</v>
      </c>
      <c r="G86" s="46">
        <f t="shared" ref="G86" si="97">SUM(G77:G85)</f>
        <v>1352183.3333333333</v>
      </c>
      <c r="H86" s="46">
        <f t="shared" ref="H86" si="98">SUM(H77:H85)</f>
        <v>4993583.333333333</v>
      </c>
      <c r="I86" s="46">
        <f t="shared" ref="I86" si="99">SUM(I77:I85)</f>
        <v>1245083.3333333335</v>
      </c>
      <c r="J86" s="46">
        <f t="shared" ref="J86" si="100">SUM(J77:J85)</f>
        <v>1245083.3333333335</v>
      </c>
      <c r="K86" s="46">
        <f t="shared" ref="K86" si="101">SUM(K77:K85)</f>
        <v>1245083.3333333335</v>
      </c>
      <c r="L86" s="46">
        <f t="shared" ref="L86" si="102">SUM(L77:L85)</f>
        <v>2316083.3333333335</v>
      </c>
      <c r="M86" s="46">
        <f t="shared" ref="M86" si="103">SUM(M77:M85)</f>
        <v>1245083.3333333335</v>
      </c>
      <c r="N86" s="46">
        <f t="shared" ref="N86" si="104">SUM(N77:N85)</f>
        <v>1030883.3333333335</v>
      </c>
    </row>
    <row r="87" spans="1:14" x14ac:dyDescent="0.25">
      <c r="A87" s="11" t="s">
        <v>19</v>
      </c>
      <c r="B87" s="11"/>
      <c r="C87" s="35"/>
      <c r="D87" s="35"/>
      <c r="E87" s="35"/>
      <c r="F87" s="35"/>
      <c r="G87" s="35"/>
      <c r="H87" s="35"/>
      <c r="I87" s="35"/>
      <c r="J87" s="35"/>
      <c r="K87" s="35"/>
      <c r="L87" s="35"/>
      <c r="M87" s="35"/>
      <c r="N87" s="35"/>
    </row>
    <row r="88" spans="1:14" x14ac:dyDescent="0.25">
      <c r="A88" s="5" t="str">
        <f>A19</f>
        <v xml:space="preserve"> PAYROLL &amp; BENEFITS</v>
      </c>
      <c r="B88" s="9">
        <f t="shared" ref="B88:B94" si="105">SUM(C88:N88)</f>
        <v>12499999.999999998</v>
      </c>
      <c r="C88" s="56">
        <f t="shared" ref="C88:N88" si="106">C65</f>
        <v>961538.46153846139</v>
      </c>
      <c r="D88" s="56">
        <f t="shared" si="106"/>
        <v>961538.46153846139</v>
      </c>
      <c r="E88" s="56">
        <f t="shared" si="106"/>
        <v>961538.46153846139</v>
      </c>
      <c r="F88" s="56">
        <f t="shared" si="106"/>
        <v>1442307.6923076925</v>
      </c>
      <c r="G88" s="56">
        <f t="shared" si="106"/>
        <v>961538.46153846139</v>
      </c>
      <c r="H88" s="56">
        <f t="shared" si="106"/>
        <v>961538.46153846139</v>
      </c>
      <c r="I88" s="56">
        <f t="shared" si="106"/>
        <v>961538.46153846139</v>
      </c>
      <c r="J88" s="56">
        <f t="shared" si="106"/>
        <v>961538.46153846139</v>
      </c>
      <c r="K88" s="56">
        <f t="shared" si="106"/>
        <v>961538.46153846139</v>
      </c>
      <c r="L88" s="56">
        <f t="shared" si="106"/>
        <v>961538.46153846139</v>
      </c>
      <c r="M88" s="56">
        <f t="shared" si="106"/>
        <v>1442307.6923076925</v>
      </c>
      <c r="N88" s="56">
        <f t="shared" si="106"/>
        <v>961538.46153846139</v>
      </c>
    </row>
    <row r="89" spans="1:14" x14ac:dyDescent="0.25">
      <c r="A89" s="5" t="str">
        <f>A20</f>
        <v xml:space="preserve"> GENERAL ADMINISTRATIVE</v>
      </c>
      <c r="B89" s="9">
        <f t="shared" si="105"/>
        <v>2493999.9999999995</v>
      </c>
      <c r="C89" s="56">
        <f t="shared" ref="C89:N89" si="107">C66</f>
        <v>207833.33333333331</v>
      </c>
      <c r="D89" s="56">
        <f t="shared" si="107"/>
        <v>207833.33333333331</v>
      </c>
      <c r="E89" s="56">
        <f t="shared" si="107"/>
        <v>207833.33333333331</v>
      </c>
      <c r="F89" s="56">
        <f t="shared" si="107"/>
        <v>207833.33333333331</v>
      </c>
      <c r="G89" s="56">
        <f t="shared" si="107"/>
        <v>207833.33333333331</v>
      </c>
      <c r="H89" s="56">
        <f t="shared" si="107"/>
        <v>207833.33333333331</v>
      </c>
      <c r="I89" s="56">
        <f t="shared" si="107"/>
        <v>207833.33333333331</v>
      </c>
      <c r="J89" s="56">
        <f t="shared" si="107"/>
        <v>207833.33333333331</v>
      </c>
      <c r="K89" s="56">
        <f t="shared" si="107"/>
        <v>207833.33333333331</v>
      </c>
      <c r="L89" s="56">
        <f t="shared" si="107"/>
        <v>207833.33333333331</v>
      </c>
      <c r="M89" s="56">
        <f t="shared" si="107"/>
        <v>207833.33333333331</v>
      </c>
      <c r="N89" s="56">
        <f t="shared" si="107"/>
        <v>207833.33333333331</v>
      </c>
    </row>
    <row r="90" spans="1:14" x14ac:dyDescent="0.25">
      <c r="A90" s="5" t="str">
        <f>A21</f>
        <v xml:space="preserve"> COMMODITIES</v>
      </c>
      <c r="B90" s="9">
        <f t="shared" si="105"/>
        <v>3525000</v>
      </c>
      <c r="C90" s="56">
        <f t="shared" ref="C90:N90" si="108">C67</f>
        <v>293750</v>
      </c>
      <c r="D90" s="56">
        <f t="shared" si="108"/>
        <v>293750</v>
      </c>
      <c r="E90" s="56">
        <f t="shared" si="108"/>
        <v>293750</v>
      </c>
      <c r="F90" s="56">
        <f t="shared" si="108"/>
        <v>293750</v>
      </c>
      <c r="G90" s="56">
        <f t="shared" si="108"/>
        <v>293750</v>
      </c>
      <c r="H90" s="56">
        <f t="shared" si="108"/>
        <v>293750</v>
      </c>
      <c r="I90" s="56">
        <f t="shared" si="108"/>
        <v>293750</v>
      </c>
      <c r="J90" s="56">
        <f t="shared" si="108"/>
        <v>293750</v>
      </c>
      <c r="K90" s="56">
        <f t="shared" si="108"/>
        <v>293750</v>
      </c>
      <c r="L90" s="56">
        <f t="shared" si="108"/>
        <v>293750</v>
      </c>
      <c r="M90" s="56">
        <f t="shared" si="108"/>
        <v>293750</v>
      </c>
      <c r="N90" s="56">
        <f t="shared" si="108"/>
        <v>293750</v>
      </c>
    </row>
    <row r="91" spans="1:14" x14ac:dyDescent="0.25">
      <c r="A91" s="5" t="str">
        <f>A22</f>
        <v xml:space="preserve"> DEBT SERVICE</v>
      </c>
      <c r="B91" s="9">
        <f t="shared" si="105"/>
        <v>127999.99999999994</v>
      </c>
      <c r="C91" s="56">
        <f t="shared" ref="C91:N91" si="109">C68</f>
        <v>10666.666666666664</v>
      </c>
      <c r="D91" s="56">
        <f t="shared" si="109"/>
        <v>10666.666666666664</v>
      </c>
      <c r="E91" s="56">
        <f t="shared" si="109"/>
        <v>10666.666666666664</v>
      </c>
      <c r="F91" s="56">
        <f t="shared" si="109"/>
        <v>10666.666666666664</v>
      </c>
      <c r="G91" s="56">
        <f t="shared" si="109"/>
        <v>10666.666666666664</v>
      </c>
      <c r="H91" s="56">
        <f t="shared" si="109"/>
        <v>10666.666666666664</v>
      </c>
      <c r="I91" s="56">
        <f t="shared" si="109"/>
        <v>10666.666666666664</v>
      </c>
      <c r="J91" s="56">
        <f t="shared" si="109"/>
        <v>10666.666666666664</v>
      </c>
      <c r="K91" s="56">
        <f t="shared" si="109"/>
        <v>10666.666666666664</v>
      </c>
      <c r="L91" s="56">
        <f t="shared" si="109"/>
        <v>10666.666666666664</v>
      </c>
      <c r="M91" s="56">
        <f t="shared" si="109"/>
        <v>10666.666666666664</v>
      </c>
      <c r="N91" s="56">
        <f t="shared" si="109"/>
        <v>10666.666666666664</v>
      </c>
    </row>
    <row r="92" spans="1:14" x14ac:dyDescent="0.25">
      <c r="A92" s="5" t="str">
        <f t="shared" ref="A92:A94" si="110">A23</f>
        <v xml:space="preserve"> OTHER EXPENSE</v>
      </c>
      <c r="B92" s="9">
        <f t="shared" ref="B92" si="111">SUM(C92:N92)</f>
        <v>33000.000000000007</v>
      </c>
      <c r="C92" s="56">
        <f t="shared" ref="C92:N94" si="112">C69</f>
        <v>2750.0000000000005</v>
      </c>
      <c r="D92" s="56">
        <f t="shared" si="112"/>
        <v>2750.0000000000005</v>
      </c>
      <c r="E92" s="56">
        <f t="shared" si="112"/>
        <v>2750.0000000000005</v>
      </c>
      <c r="F92" s="56">
        <f t="shared" si="112"/>
        <v>2750.0000000000005</v>
      </c>
      <c r="G92" s="56">
        <f t="shared" si="112"/>
        <v>2750.0000000000005</v>
      </c>
      <c r="H92" s="56">
        <f t="shared" si="112"/>
        <v>2750.0000000000005</v>
      </c>
      <c r="I92" s="56">
        <f t="shared" si="112"/>
        <v>2750.0000000000005</v>
      </c>
      <c r="J92" s="56">
        <f t="shared" si="112"/>
        <v>2750.0000000000005</v>
      </c>
      <c r="K92" s="56">
        <f t="shared" si="112"/>
        <v>2750.0000000000005</v>
      </c>
      <c r="L92" s="56">
        <f t="shared" si="112"/>
        <v>2750.0000000000005</v>
      </c>
      <c r="M92" s="56">
        <f t="shared" si="112"/>
        <v>2750.0000000000005</v>
      </c>
      <c r="N92" s="56">
        <f t="shared" si="112"/>
        <v>2750.0000000000005</v>
      </c>
    </row>
    <row r="93" spans="1:14" x14ac:dyDescent="0.25">
      <c r="A93" s="5" t="str">
        <f t="shared" si="110"/>
        <v xml:space="preserve"> OTHER USE</v>
      </c>
      <c r="B93" s="9">
        <f t="shared" ref="B93" si="113">SUM(C93:N93)</f>
        <v>0</v>
      </c>
      <c r="C93" s="56">
        <f t="shared" si="112"/>
        <v>0</v>
      </c>
      <c r="D93" s="56">
        <f t="shared" si="112"/>
        <v>0</v>
      </c>
      <c r="E93" s="56">
        <f t="shared" si="112"/>
        <v>0</v>
      </c>
      <c r="F93" s="56">
        <f t="shared" si="112"/>
        <v>0</v>
      </c>
      <c r="G93" s="56">
        <f t="shared" si="112"/>
        <v>0</v>
      </c>
      <c r="H93" s="56">
        <f t="shared" si="112"/>
        <v>0</v>
      </c>
      <c r="I93" s="56">
        <f t="shared" si="112"/>
        <v>0</v>
      </c>
      <c r="J93" s="56">
        <f t="shared" si="112"/>
        <v>0</v>
      </c>
      <c r="K93" s="56">
        <f t="shared" si="112"/>
        <v>0</v>
      </c>
      <c r="L93" s="56">
        <f t="shared" si="112"/>
        <v>0</v>
      </c>
      <c r="M93" s="56">
        <f t="shared" si="112"/>
        <v>0</v>
      </c>
      <c r="N93" s="56">
        <f t="shared" si="112"/>
        <v>0</v>
      </c>
    </row>
    <row r="94" spans="1:14" x14ac:dyDescent="0.25">
      <c r="A94" s="5" t="str">
        <f t="shared" si="110"/>
        <v xml:space="preserve"> OTHER USE</v>
      </c>
      <c r="B94" s="9">
        <f t="shared" si="105"/>
        <v>0</v>
      </c>
      <c r="C94" s="56">
        <f t="shared" si="112"/>
        <v>0</v>
      </c>
      <c r="D94" s="56">
        <f t="shared" si="112"/>
        <v>0</v>
      </c>
      <c r="E94" s="56">
        <f t="shared" si="112"/>
        <v>0</v>
      </c>
      <c r="F94" s="56">
        <f t="shared" si="112"/>
        <v>0</v>
      </c>
      <c r="G94" s="56">
        <f t="shared" si="112"/>
        <v>0</v>
      </c>
      <c r="H94" s="56">
        <f t="shared" si="112"/>
        <v>0</v>
      </c>
      <c r="I94" s="56">
        <f t="shared" si="112"/>
        <v>0</v>
      </c>
      <c r="J94" s="56">
        <f t="shared" si="112"/>
        <v>0</v>
      </c>
      <c r="K94" s="56">
        <f t="shared" si="112"/>
        <v>0</v>
      </c>
      <c r="L94" s="56">
        <f t="shared" si="112"/>
        <v>0</v>
      </c>
      <c r="M94" s="56">
        <f t="shared" si="112"/>
        <v>0</v>
      </c>
      <c r="N94" s="56">
        <f t="shared" si="112"/>
        <v>0</v>
      </c>
    </row>
    <row r="95" spans="1:14" x14ac:dyDescent="0.25">
      <c r="A95" s="45" t="s">
        <v>21</v>
      </c>
      <c r="B95" s="51">
        <f>SUM(B88:B94)</f>
        <v>18680000</v>
      </c>
      <c r="C95" s="51">
        <f>SUM(C88:C94)</f>
        <v>1476538.4615384615</v>
      </c>
      <c r="D95" s="51">
        <f t="shared" ref="D95" si="114">SUM(D88:D94)</f>
        <v>1476538.4615384615</v>
      </c>
      <c r="E95" s="51">
        <f t="shared" ref="E95" si="115">SUM(E88:E94)</f>
        <v>1476538.4615384615</v>
      </c>
      <c r="F95" s="51">
        <f t="shared" ref="F95" si="116">SUM(F88:F94)</f>
        <v>1957307.6923076925</v>
      </c>
      <c r="G95" s="51">
        <f t="shared" ref="G95" si="117">SUM(G88:G94)</f>
        <v>1476538.4615384615</v>
      </c>
      <c r="H95" s="51">
        <f t="shared" ref="H95" si="118">SUM(H88:H94)</f>
        <v>1476538.4615384615</v>
      </c>
      <c r="I95" s="51">
        <f t="shared" ref="I95" si="119">SUM(I88:I94)</f>
        <v>1476538.4615384615</v>
      </c>
      <c r="J95" s="51">
        <f t="shared" ref="J95" si="120">SUM(J88:J94)</f>
        <v>1476538.4615384615</v>
      </c>
      <c r="K95" s="51">
        <f t="shared" ref="K95" si="121">SUM(K88:K94)</f>
        <v>1476538.4615384615</v>
      </c>
      <c r="L95" s="51">
        <f t="shared" ref="L95" si="122">SUM(L88:L94)</f>
        <v>1476538.4615384615</v>
      </c>
      <c r="M95" s="51">
        <f t="shared" ref="M95" si="123">SUM(M88:M94)</f>
        <v>1957307.6923076925</v>
      </c>
      <c r="N95" s="51">
        <f t="shared" ref="N95" si="124">SUM(N88:N94)</f>
        <v>1476538.4615384615</v>
      </c>
    </row>
    <row r="96" spans="1:14" ht="15.75" thickBot="1" x14ac:dyDescent="0.3">
      <c r="A96" s="48" t="s">
        <v>22</v>
      </c>
      <c r="B96" s="52">
        <f t="shared" ref="B96:N96" si="125">B86-B95</f>
        <v>545000</v>
      </c>
      <c r="C96" s="52">
        <f t="shared" si="125"/>
        <v>-338555.12820512801</v>
      </c>
      <c r="D96" s="52">
        <f t="shared" si="125"/>
        <v>-338555.12820512801</v>
      </c>
      <c r="E96" s="52">
        <f t="shared" si="125"/>
        <v>-338555.12820512801</v>
      </c>
      <c r="F96" s="52">
        <f t="shared" si="125"/>
        <v>-819324.358974359</v>
      </c>
      <c r="G96" s="52">
        <f t="shared" si="125"/>
        <v>-124355.12820512825</v>
      </c>
      <c r="H96" s="52">
        <f t="shared" si="125"/>
        <v>3517044.8717948715</v>
      </c>
      <c r="I96" s="52">
        <f t="shared" si="125"/>
        <v>-231455.12820512801</v>
      </c>
      <c r="J96" s="52">
        <f t="shared" si="125"/>
        <v>-231455.12820512801</v>
      </c>
      <c r="K96" s="52">
        <f t="shared" si="125"/>
        <v>-231455.12820512801</v>
      </c>
      <c r="L96" s="52">
        <f t="shared" si="125"/>
        <v>839544.87179487199</v>
      </c>
      <c r="M96" s="52">
        <f t="shared" si="125"/>
        <v>-712224.358974359</v>
      </c>
      <c r="N96" s="52">
        <f t="shared" si="125"/>
        <v>-445655.12820512801</v>
      </c>
    </row>
    <row r="97" spans="1:8" x14ac:dyDescent="0.25">
      <c r="A97" s="42" t="s">
        <v>29</v>
      </c>
      <c r="B97" s="50"/>
      <c r="C97" s="50"/>
      <c r="D97" s="50"/>
      <c r="E97" s="50"/>
      <c r="F97" s="50"/>
    </row>
    <row r="98" spans="1:8" x14ac:dyDescent="0.25">
      <c r="A98" s="43"/>
      <c r="B98" s="44" t="str">
        <f>B29</f>
        <v>TOTAL-2017</v>
      </c>
      <c r="C98" s="44" t="str">
        <f>B6</f>
        <v>TOTAL-2018</v>
      </c>
      <c r="D98" s="44" t="str">
        <f>B75</f>
        <v>TOTAL-2019</v>
      </c>
      <c r="E98" s="44" t="s">
        <v>28</v>
      </c>
      <c r="F98" s="44" t="s">
        <v>27</v>
      </c>
    </row>
    <row r="99" spans="1:8" x14ac:dyDescent="0.25">
      <c r="A99" s="11" t="s">
        <v>18</v>
      </c>
      <c r="B99" s="11"/>
      <c r="C99" s="11"/>
      <c r="D99" s="11"/>
    </row>
    <row r="100" spans="1:8" x14ac:dyDescent="0.25">
      <c r="A100" s="5" t="str">
        <f t="shared" ref="A100:A105" si="126">A8</f>
        <v xml:space="preserve"> TAX RECEIPTS</v>
      </c>
      <c r="B100" s="9">
        <f t="shared" ref="B100:B105" si="127">B31</f>
        <v>10290446.880000003</v>
      </c>
      <c r="C100" s="9">
        <f t="shared" ref="C100:C105" si="128">B8</f>
        <v>10500456</v>
      </c>
      <c r="D100" s="9">
        <f t="shared" ref="D100:D105" si="129">B77</f>
        <v>10710000</v>
      </c>
      <c r="E100" s="53">
        <f>IFERROR(AVERAGE((D100/C100),(C100/B100))-1,0)</f>
        <v>2.0181934023063341E-2</v>
      </c>
      <c r="F100" s="58">
        <v>0.04</v>
      </c>
      <c r="H100" s="98"/>
    </row>
    <row r="101" spans="1:8" x14ac:dyDescent="0.25">
      <c r="A101" s="5" t="str">
        <f t="shared" si="126"/>
        <v xml:space="preserve"> USER FEES</v>
      </c>
      <c r="B101" s="9">
        <f t="shared" si="127"/>
        <v>3430564.4800000009</v>
      </c>
      <c r="C101" s="9">
        <f t="shared" si="128"/>
        <v>3500575.9999999995</v>
      </c>
      <c r="D101" s="9">
        <f t="shared" si="129"/>
        <v>3570000</v>
      </c>
      <c r="E101" s="53">
        <f t="shared" ref="E101:E108" si="130">IFERROR(AVERAGE((D101/C101),(C101/B101))-1,0)</f>
        <v>2.0120164014523656E-2</v>
      </c>
      <c r="F101" s="58">
        <v>2.0120164014523656E-2</v>
      </c>
      <c r="H101" s="98"/>
    </row>
    <row r="102" spans="1:8" x14ac:dyDescent="0.25">
      <c r="A102" s="5" t="str">
        <f t="shared" si="126"/>
        <v xml:space="preserve"> SHARED REVENUES - FEDERAL</v>
      </c>
      <c r="B102" s="9">
        <f t="shared" si="127"/>
        <v>1229605.0199999998</v>
      </c>
      <c r="C102" s="9">
        <f t="shared" si="128"/>
        <v>1254699</v>
      </c>
      <c r="D102" s="9">
        <f t="shared" si="129"/>
        <v>1279000</v>
      </c>
      <c r="E102" s="53">
        <f t="shared" si="130"/>
        <v>1.9888077555181294E-2</v>
      </c>
      <c r="F102" s="58">
        <v>0.02</v>
      </c>
      <c r="H102" s="98"/>
    </row>
    <row r="103" spans="1:8" x14ac:dyDescent="0.25">
      <c r="A103" s="5" t="str">
        <f t="shared" si="126"/>
        <v xml:space="preserve"> SHARED REVENUES - STATE</v>
      </c>
      <c r="B103" s="9">
        <f t="shared" si="127"/>
        <v>3430229.3200000003</v>
      </c>
      <c r="C103" s="9">
        <f t="shared" si="128"/>
        <v>3500233.9999999995</v>
      </c>
      <c r="D103" s="9">
        <f t="shared" si="129"/>
        <v>3570000.0000000005</v>
      </c>
      <c r="E103" s="53">
        <f t="shared" si="130"/>
        <v>2.0169986769281056E-2</v>
      </c>
      <c r="F103" s="58">
        <v>0.01</v>
      </c>
      <c r="H103" s="98"/>
    </row>
    <row r="104" spans="1:8" x14ac:dyDescent="0.25">
      <c r="A104" s="5" t="str">
        <f t="shared" si="126"/>
        <v xml:space="preserve"> SHARED REVENUES - LOCAL</v>
      </c>
      <c r="B104" s="9">
        <f t="shared" si="127"/>
        <v>53693.219999999979</v>
      </c>
      <c r="C104" s="9">
        <f t="shared" si="128"/>
        <v>54789</v>
      </c>
      <c r="D104" s="9">
        <f t="shared" si="129"/>
        <v>55000.000000000022</v>
      </c>
      <c r="E104" s="53">
        <f t="shared" si="130"/>
        <v>1.2129650633730282E-2</v>
      </c>
      <c r="F104" s="58">
        <v>0.01</v>
      </c>
      <c r="H104" s="98"/>
    </row>
    <row r="105" spans="1:8" x14ac:dyDescent="0.25">
      <c r="A105" s="5" t="str">
        <f t="shared" si="126"/>
        <v xml:space="preserve"> INVESTMENT INCOME</v>
      </c>
      <c r="B105" s="9">
        <f t="shared" si="127"/>
        <v>25372.199999999993</v>
      </c>
      <c r="C105" s="9">
        <f t="shared" si="128"/>
        <v>25890</v>
      </c>
      <c r="D105" s="9">
        <f t="shared" si="129"/>
        <v>26000.000000000011</v>
      </c>
      <c r="E105" s="53">
        <f t="shared" si="130"/>
        <v>1.2328453977187959E-2</v>
      </c>
      <c r="F105" s="58">
        <v>0.01</v>
      </c>
      <c r="H105" s="98"/>
    </row>
    <row r="106" spans="1:8" x14ac:dyDescent="0.25">
      <c r="A106" s="5" t="str">
        <f t="shared" ref="A106:A108" si="131">A14</f>
        <v xml:space="preserve"> OTHER INCOME</v>
      </c>
      <c r="B106" s="9">
        <f t="shared" ref="B106:B108" si="132">B37</f>
        <v>12074.58</v>
      </c>
      <c r="C106" s="9">
        <f t="shared" ref="C106" si="133">B14</f>
        <v>12321</v>
      </c>
      <c r="D106" s="9">
        <f t="shared" ref="D106" si="134">B83</f>
        <v>15000</v>
      </c>
      <c r="E106" s="53">
        <f t="shared" ref="E106" si="135">IFERROR(AVERAGE((D106/C106),(C106/B106))-1,0)</f>
        <v>0.11892090656569421</v>
      </c>
      <c r="F106" s="58">
        <v>0.05</v>
      </c>
      <c r="H106" s="98"/>
    </row>
    <row r="107" spans="1:8" x14ac:dyDescent="0.25">
      <c r="A107" s="5" t="str">
        <f t="shared" si="131"/>
        <v xml:space="preserve"> OTHER SOURCE</v>
      </c>
      <c r="B107" s="9">
        <f t="shared" si="132"/>
        <v>0</v>
      </c>
      <c r="C107" s="9">
        <f t="shared" ref="C107" si="136">B15</f>
        <v>0</v>
      </c>
      <c r="D107" s="9">
        <f t="shared" ref="D107" si="137">B84</f>
        <v>0</v>
      </c>
      <c r="E107" s="53">
        <f t="shared" ref="E107" si="138">IFERROR(AVERAGE((D107/C107),(C107/B107))-1,0)</f>
        <v>0</v>
      </c>
      <c r="F107" s="58">
        <v>0</v>
      </c>
      <c r="H107" s="98"/>
    </row>
    <row r="108" spans="1:8" x14ac:dyDescent="0.25">
      <c r="A108" s="5" t="str">
        <f t="shared" si="131"/>
        <v xml:space="preserve"> OTHER SOURCE</v>
      </c>
      <c r="B108" s="9">
        <f t="shared" si="132"/>
        <v>0</v>
      </c>
      <c r="C108" s="9">
        <f t="shared" ref="C108" si="139">B16</f>
        <v>0</v>
      </c>
      <c r="D108" s="9">
        <f t="shared" ref="D108" si="140">B85</f>
        <v>0</v>
      </c>
      <c r="E108" s="53">
        <f t="shared" si="130"/>
        <v>0</v>
      </c>
      <c r="F108" s="58">
        <v>0</v>
      </c>
      <c r="H108" s="98"/>
    </row>
    <row r="109" spans="1:8" x14ac:dyDescent="0.25">
      <c r="A109" s="45" t="s">
        <v>20</v>
      </c>
      <c r="B109" s="46">
        <f>SUM(B100:B108)</f>
        <v>18471985.699999999</v>
      </c>
      <c r="C109" s="46">
        <f>SUM(C100:C108)</f>
        <v>18848965</v>
      </c>
      <c r="D109" s="46">
        <f>SUM(D100:D108)</f>
        <v>19225000</v>
      </c>
      <c r="E109" s="54">
        <f>IFERROR(AVERAGE((D109/C109),(C109/B109))-1,0)</f>
        <v>2.0179032511918882E-2</v>
      </c>
    </row>
    <row r="110" spans="1:8" x14ac:dyDescent="0.25">
      <c r="A110" s="11" t="s">
        <v>19</v>
      </c>
      <c r="B110" s="11"/>
      <c r="C110" s="11"/>
      <c r="D110" s="11"/>
    </row>
    <row r="111" spans="1:8" x14ac:dyDescent="0.25">
      <c r="A111" s="5" t="str">
        <f>A19</f>
        <v xml:space="preserve"> PAYROLL &amp; BENEFITS</v>
      </c>
      <c r="B111" s="9">
        <f>B42</f>
        <v>10924975.319999998</v>
      </c>
      <c r="C111" s="9">
        <f>B19</f>
        <v>12290597.234999999</v>
      </c>
      <c r="D111" s="9">
        <f>B88</f>
        <v>12499999.999999998</v>
      </c>
      <c r="E111" s="53">
        <f t="shared" ref="E111:E119" si="141">IFERROR(AVERAGE((D111/C111),(C111/B111))-1,0)</f>
        <v>7.1018819752862949E-2</v>
      </c>
      <c r="F111" s="58">
        <v>2.0164043720695801E-2</v>
      </c>
      <c r="H111" s="98"/>
    </row>
    <row r="112" spans="1:8" x14ac:dyDescent="0.25">
      <c r="A112" s="5" t="str">
        <f>A20</f>
        <v xml:space="preserve"> GENERAL ADMINISTRATIVE</v>
      </c>
      <c r="B112" s="9">
        <f>B43</f>
        <v>2396721.3199999998</v>
      </c>
      <c r="C112" s="9">
        <f>B20</f>
        <v>2445634</v>
      </c>
      <c r="D112" s="9">
        <f>B89</f>
        <v>2493999.9999999995</v>
      </c>
      <c r="E112" s="53">
        <f t="shared" si="141"/>
        <v>2.0092315113214632E-2</v>
      </c>
      <c r="F112" s="58">
        <v>2.0092315113214632E-2</v>
      </c>
      <c r="H112" s="98"/>
    </row>
    <row r="113" spans="1:8" x14ac:dyDescent="0.25">
      <c r="A113" s="5" t="str">
        <f>A21</f>
        <v xml:space="preserve"> COMMODITIES</v>
      </c>
      <c r="B113" s="9">
        <f>B44</f>
        <v>3387644.4000000008</v>
      </c>
      <c r="C113" s="9">
        <f>B21</f>
        <v>3456780</v>
      </c>
      <c r="D113" s="9">
        <f>B90</f>
        <v>3525000</v>
      </c>
      <c r="E113" s="53">
        <f t="shared" si="141"/>
        <v>2.0071646244806507E-2</v>
      </c>
      <c r="F113" s="58">
        <v>2.0071646244806507E-2</v>
      </c>
      <c r="H113" s="98"/>
    </row>
    <row r="114" spans="1:8" x14ac:dyDescent="0.25">
      <c r="A114" s="5" t="str">
        <f>A22</f>
        <v xml:space="preserve"> DEBT SERVICE</v>
      </c>
      <c r="B114" s="9">
        <f>B45</f>
        <v>123273.22000000003</v>
      </c>
      <c r="C114" s="9">
        <f>B22</f>
        <v>125789.00000000001</v>
      </c>
      <c r="D114" s="9">
        <f>B91</f>
        <v>127999.99999999994</v>
      </c>
      <c r="E114" s="53">
        <f t="shared" si="141"/>
        <v>1.8992608451372961E-2</v>
      </c>
      <c r="F114" s="58">
        <v>1.8992608451372961E-2</v>
      </c>
      <c r="H114" s="98"/>
    </row>
    <row r="115" spans="1:8" x14ac:dyDescent="0.25">
      <c r="A115" s="5" t="str">
        <f t="shared" ref="A115:A117" si="142">A23</f>
        <v xml:space="preserve"> OTHER EXPENSE</v>
      </c>
      <c r="B115" s="9">
        <f t="shared" ref="B115:B117" si="143">B46</f>
        <v>31915.659999999993</v>
      </c>
      <c r="C115" s="9">
        <f t="shared" ref="C115" si="144">B23</f>
        <v>32567.000000000004</v>
      </c>
      <c r="D115" s="9">
        <f t="shared" ref="D115" si="145">B92</f>
        <v>33000.000000000007</v>
      </c>
      <c r="E115" s="53">
        <f t="shared" ref="E115" si="146">IFERROR(AVERAGE((D115/C115),(C115/B115))-1,0)</f>
        <v>1.685191532934005E-2</v>
      </c>
      <c r="F115" s="58">
        <v>1.685191532934005E-2</v>
      </c>
      <c r="H115" s="98"/>
    </row>
    <row r="116" spans="1:8" x14ac:dyDescent="0.25">
      <c r="A116" s="5" t="str">
        <f t="shared" si="142"/>
        <v xml:space="preserve"> OTHER USE</v>
      </c>
      <c r="B116" s="9">
        <f t="shared" si="143"/>
        <v>0</v>
      </c>
      <c r="C116" s="9">
        <f t="shared" ref="C116" si="147">B24</f>
        <v>0</v>
      </c>
      <c r="D116" s="9">
        <f t="shared" ref="D116" si="148">B93</f>
        <v>0</v>
      </c>
      <c r="E116" s="53">
        <f t="shared" ref="E116" si="149">IFERROR(AVERAGE((D116/C116),(C116/B116))-1,0)</f>
        <v>0</v>
      </c>
      <c r="F116" s="58">
        <v>0</v>
      </c>
      <c r="H116" s="98"/>
    </row>
    <row r="117" spans="1:8" x14ac:dyDescent="0.25">
      <c r="A117" s="5" t="str">
        <f t="shared" si="142"/>
        <v xml:space="preserve"> OTHER USE</v>
      </c>
      <c r="B117" s="9">
        <f t="shared" si="143"/>
        <v>0</v>
      </c>
      <c r="C117" s="9">
        <f t="shared" ref="C117" si="150">B25</f>
        <v>0</v>
      </c>
      <c r="D117" s="9">
        <f t="shared" ref="D117" si="151">B94</f>
        <v>0</v>
      </c>
      <c r="E117" s="53">
        <f t="shared" si="141"/>
        <v>0</v>
      </c>
      <c r="F117" s="58">
        <v>0</v>
      </c>
      <c r="H117" s="98"/>
    </row>
    <row r="118" spans="1:8" x14ac:dyDescent="0.25">
      <c r="A118" s="45" t="s">
        <v>21</v>
      </c>
      <c r="B118" s="51">
        <f>SUM(B111:B117)</f>
        <v>16864529.919999998</v>
      </c>
      <c r="C118" s="51">
        <f>SUM(C111:C117)</f>
        <v>18351367.234999999</v>
      </c>
      <c r="D118" s="51">
        <f>SUM(D111:D117)</f>
        <v>18680000</v>
      </c>
      <c r="E118" s="54">
        <f t="shared" si="141"/>
        <v>5.3035693582800914E-2</v>
      </c>
    </row>
    <row r="119" spans="1:8" ht="15.75" thickBot="1" x14ac:dyDescent="0.3">
      <c r="A119" s="48" t="s">
        <v>22</v>
      </c>
      <c r="B119" s="52">
        <f>B109-B118</f>
        <v>1607455.7800000012</v>
      </c>
      <c r="C119" s="52">
        <f>C109-C118</f>
        <v>497597.7650000006</v>
      </c>
      <c r="D119" s="52">
        <f>D109-D118</f>
        <v>545000</v>
      </c>
      <c r="E119" s="55">
        <f t="shared" si="141"/>
        <v>-0.29759086582069338</v>
      </c>
    </row>
  </sheetData>
  <sheetProtection algorithmName="SHA-512" hashValue="GvIkNI0Xj4lkVumoyVqlqWY/vIqkNzmL5iXYUv5uAslZhxk80grcfxHfGOEJ664yfklJdPQT8IM4WcFB8bfAJQ==" saltValue="rVfMsdoc4HD/BwR5Ir40gg==" spinCount="100000" sheet="1" objects="1" scenarios="1"/>
  <pageMargins left="0.7" right="0.7" top="0.75" bottom="0.75" header="0.3" footer="0.3"/>
  <pageSetup scale="55" fitToHeight="2" orientation="landscape" r:id="rId1"/>
  <headerFooter>
    <oddHeader>&amp;F</oddHeader>
    <oddFooter>&amp;C&amp;A&amp;R&amp;P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'5-FY Table'!$B$2:$B$37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8"/>
  <sheetViews>
    <sheetView zoomScale="80" zoomScaleNormal="80" workbookViewId="0">
      <pane ySplit="3" topLeftCell="A4" activePane="bottomLeft" state="frozen"/>
      <selection pane="bottomLeft" activeCell="Q52" sqref="Q52:AB56"/>
    </sheetView>
  </sheetViews>
  <sheetFormatPr defaultColWidth="8.85546875" defaultRowHeight="15" x14ac:dyDescent="0.25"/>
  <cols>
    <col min="1" max="2" width="8.85546875" style="5"/>
    <col min="3" max="3" width="11.28515625" style="5" bestFit="1" customWidth="1"/>
    <col min="4" max="4" width="8.85546875" style="5"/>
    <col min="5" max="9" width="9.140625" style="5" bestFit="1" customWidth="1"/>
    <col min="10" max="10" width="9.42578125" style="5" bestFit="1" customWidth="1"/>
    <col min="11" max="13" width="9.28515625" style="5" bestFit="1" customWidth="1"/>
    <col min="14" max="14" width="9.42578125" style="5" bestFit="1" customWidth="1"/>
    <col min="15" max="28" width="9.28515625" style="5" bestFit="1" customWidth="1"/>
    <col min="29" max="16384" width="8.85546875" style="5"/>
  </cols>
  <sheetData>
    <row r="1" spans="1:28" ht="18.75" x14ac:dyDescent="0.3">
      <c r="A1" s="2" t="s">
        <v>111</v>
      </c>
      <c r="B1" s="3"/>
      <c r="C1" s="3"/>
      <c r="D1" s="3"/>
      <c r="E1" s="3"/>
      <c r="F1" s="3"/>
      <c r="G1" s="3"/>
      <c r="H1" s="3"/>
      <c r="I1" s="3"/>
      <c r="J1" s="4"/>
      <c r="K1" s="3"/>
      <c r="L1" s="3"/>
      <c r="M1" s="3"/>
      <c r="N1" s="3"/>
      <c r="O1" s="3"/>
      <c r="P1" s="3"/>
      <c r="Q1" s="3"/>
      <c r="R1" s="3"/>
      <c r="S1" s="3"/>
      <c r="T1" s="3"/>
      <c r="U1" s="3"/>
      <c r="V1" s="3"/>
      <c r="W1" s="3"/>
      <c r="X1" s="3"/>
      <c r="Y1" s="3"/>
      <c r="Z1" s="3"/>
      <c r="AA1" s="3"/>
      <c r="AB1" s="3"/>
    </row>
    <row r="2" spans="1:28" ht="15.75" x14ac:dyDescent="0.25">
      <c r="A2" s="6" t="str">
        <f>CONCATENATE("FOR FISCAL YEAR ENDING-",'2-Data Input &amp; Assumptions'!B2)</f>
        <v>FOR FISCAL YEAR ENDING-JUN-2019</v>
      </c>
      <c r="B2" s="7"/>
      <c r="C2" s="7"/>
      <c r="D2" s="7"/>
      <c r="E2" s="7"/>
      <c r="F2" s="7"/>
      <c r="G2" s="7"/>
      <c r="H2" s="8"/>
      <c r="I2" s="3"/>
      <c r="J2" s="3"/>
      <c r="K2" s="3"/>
      <c r="L2" s="3"/>
      <c r="M2" s="3"/>
      <c r="N2" s="3"/>
      <c r="O2" s="3"/>
      <c r="P2" s="3"/>
      <c r="Q2" s="3"/>
      <c r="R2" s="3"/>
      <c r="S2" s="3"/>
      <c r="T2" s="3"/>
      <c r="U2" s="3"/>
      <c r="V2" s="3"/>
      <c r="W2" s="3"/>
      <c r="X2" s="3"/>
      <c r="Y2" s="3"/>
      <c r="Z2" s="3"/>
      <c r="AA2" s="3"/>
      <c r="AB2" s="3"/>
    </row>
    <row r="3" spans="1:28" ht="15.75" x14ac:dyDescent="0.25">
      <c r="A3" s="76"/>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31" spans="5:16" x14ac:dyDescent="0.25">
      <c r="E31" s="9"/>
      <c r="F31" s="9"/>
      <c r="G31" s="9"/>
      <c r="H31" s="9"/>
      <c r="I31" s="9"/>
      <c r="J31" s="9"/>
      <c r="K31" s="9"/>
      <c r="L31" s="9"/>
      <c r="M31" s="9"/>
      <c r="N31" s="9"/>
      <c r="O31" s="9"/>
      <c r="P31" s="9"/>
    </row>
    <row r="40" spans="2:28" ht="15.75" thickBot="1" x14ac:dyDescent="0.3">
      <c r="Q40" s="96"/>
      <c r="R40" s="96"/>
      <c r="S40" s="96"/>
      <c r="T40" s="96"/>
      <c r="U40" s="96"/>
      <c r="V40" s="96"/>
      <c r="W40" s="96"/>
      <c r="X40" s="96"/>
      <c r="Y40" s="96"/>
      <c r="Z40" s="96"/>
      <c r="AA40" s="96"/>
      <c r="AB40" s="96"/>
    </row>
    <row r="41" spans="2:28" ht="15.75" thickBot="1" x14ac:dyDescent="0.3">
      <c r="B41" s="12" t="s">
        <v>31</v>
      </c>
      <c r="C41" s="1">
        <v>1000</v>
      </c>
      <c r="D41" s="13"/>
      <c r="E41" s="14" t="str">
        <f>'2-Data Input &amp; Assumptions'!C75</f>
        <v>JUL-2018</v>
      </c>
      <c r="F41" s="15" t="str">
        <f>'2-Data Input &amp; Assumptions'!D75</f>
        <v>AUG-2018</v>
      </c>
      <c r="G41" s="15" t="str">
        <f>'2-Data Input &amp; Assumptions'!E75</f>
        <v>SEP-2018</v>
      </c>
      <c r="H41" s="15" t="str">
        <f>'2-Data Input &amp; Assumptions'!F75</f>
        <v>OCT-2018</v>
      </c>
      <c r="I41" s="15" t="str">
        <f>'2-Data Input &amp; Assumptions'!G75</f>
        <v>NOV-2018</v>
      </c>
      <c r="J41" s="15" t="str">
        <f>'2-Data Input &amp; Assumptions'!H75</f>
        <v>DEC-2018</v>
      </c>
      <c r="K41" s="15" t="str">
        <f>'2-Data Input &amp; Assumptions'!I75</f>
        <v>JAN-2019</v>
      </c>
      <c r="L41" s="15" t="str">
        <f>'2-Data Input &amp; Assumptions'!J75</f>
        <v>FEB-2019</v>
      </c>
      <c r="M41" s="15" t="str">
        <f>'2-Data Input &amp; Assumptions'!K75</f>
        <v>MAR-2019</v>
      </c>
      <c r="N41" s="15" t="str">
        <f>'2-Data Input &amp; Assumptions'!L75</f>
        <v>APR-2019</v>
      </c>
      <c r="O41" s="15" t="str">
        <f>'2-Data Input &amp; Assumptions'!M75</f>
        <v>MAY-2019</v>
      </c>
      <c r="P41" s="15" t="str">
        <f>'2-Data Input &amp; Assumptions'!N75</f>
        <v>JUN-2019</v>
      </c>
      <c r="Q41" s="95" t="str">
        <f>CONCATENATE(LEFT(E41,4),(RIGHT(E41,4)+1))</f>
        <v>JUL-2019</v>
      </c>
      <c r="R41" s="95" t="str">
        <f t="shared" ref="R41:AB41" si="0">CONCATENATE(LEFT(F41,4),(RIGHT(F41,4)+1))</f>
        <v>AUG-2019</v>
      </c>
      <c r="S41" s="95" t="str">
        <f t="shared" si="0"/>
        <v>SEP-2019</v>
      </c>
      <c r="T41" s="95" t="str">
        <f t="shared" si="0"/>
        <v>OCT-2019</v>
      </c>
      <c r="U41" s="95" t="str">
        <f t="shared" si="0"/>
        <v>NOV-2019</v>
      </c>
      <c r="V41" s="95" t="str">
        <f t="shared" si="0"/>
        <v>DEC-2019</v>
      </c>
      <c r="W41" s="95" t="str">
        <f t="shared" si="0"/>
        <v>JAN-2020</v>
      </c>
      <c r="X41" s="95" t="str">
        <f t="shared" si="0"/>
        <v>FEB-2020</v>
      </c>
      <c r="Y41" s="95" t="str">
        <f t="shared" si="0"/>
        <v>MAR-2020</v>
      </c>
      <c r="Z41" s="95" t="str">
        <f t="shared" si="0"/>
        <v>APR-2020</v>
      </c>
      <c r="AA41" s="95" t="str">
        <f t="shared" si="0"/>
        <v>MAY-2020</v>
      </c>
      <c r="AB41" s="97" t="str">
        <f t="shared" si="0"/>
        <v>JUN-2020</v>
      </c>
    </row>
    <row r="42" spans="2:28" x14ac:dyDescent="0.25">
      <c r="B42" s="16"/>
      <c r="C42" s="17"/>
      <c r="D42" s="18" t="str">
        <f>'2-Data Input &amp; Assumptions'!A8</f>
        <v xml:space="preserve"> TAX RECEIPTS</v>
      </c>
      <c r="E42" s="19">
        <f>'2-Data Input &amp; Assumptions'!C77/1000</f>
        <v>428.39999999999992</v>
      </c>
      <c r="F42" s="19">
        <f>'2-Data Input &amp; Assumptions'!D77/1000</f>
        <v>428.39999999999992</v>
      </c>
      <c r="G42" s="19">
        <f>'2-Data Input &amp; Assumptions'!E77/1000</f>
        <v>428.39999999999992</v>
      </c>
      <c r="H42" s="19">
        <f>'2-Data Input &amp; Assumptions'!F77/1000</f>
        <v>428.39999999999992</v>
      </c>
      <c r="I42" s="19">
        <f>'2-Data Input &amp; Assumptions'!G77/1000</f>
        <v>642.59999999999991</v>
      </c>
      <c r="J42" s="19">
        <f>'2-Data Input &amp; Assumptions'!H77/1000</f>
        <v>4284</v>
      </c>
      <c r="K42" s="19">
        <f>'2-Data Input &amp; Assumptions'!I77/1000</f>
        <v>535.5</v>
      </c>
      <c r="L42" s="19">
        <f>'2-Data Input &amp; Assumptions'!J77/1000</f>
        <v>535.5</v>
      </c>
      <c r="M42" s="19">
        <f>'2-Data Input &amp; Assumptions'!K77/1000</f>
        <v>535.5</v>
      </c>
      <c r="N42" s="19">
        <f>'2-Data Input &amp; Assumptions'!L77/1000</f>
        <v>1606.5</v>
      </c>
      <c r="O42" s="19">
        <f>'2-Data Input &amp; Assumptions'!M77/1000</f>
        <v>535.5</v>
      </c>
      <c r="P42" s="19">
        <f>'2-Data Input &amp; Assumptions'!N77/1000</f>
        <v>321.29999999999995</v>
      </c>
      <c r="Q42" s="22">
        <f>E42*(1+'2-Data Input &amp; Assumptions'!$F100)</f>
        <v>445.53599999999994</v>
      </c>
      <c r="R42" s="22">
        <f>F42*(1+'2-Data Input &amp; Assumptions'!$F100)</f>
        <v>445.53599999999994</v>
      </c>
      <c r="S42" s="22">
        <f>G42*(1+'2-Data Input &amp; Assumptions'!$F100)</f>
        <v>445.53599999999994</v>
      </c>
      <c r="T42" s="22">
        <f>H42*(1+'2-Data Input &amp; Assumptions'!$F100)</f>
        <v>445.53599999999994</v>
      </c>
      <c r="U42" s="22">
        <f>I42*(1+'2-Data Input &amp; Assumptions'!$F100)</f>
        <v>668.30399999999997</v>
      </c>
      <c r="V42" s="22">
        <f>J42*(1+'2-Data Input &amp; Assumptions'!$F100)</f>
        <v>4455.3600000000006</v>
      </c>
      <c r="W42" s="22">
        <f>K42*(1+'2-Data Input &amp; Assumptions'!$F100)</f>
        <v>556.92000000000007</v>
      </c>
      <c r="X42" s="22">
        <f>L42*(1+'2-Data Input &amp; Assumptions'!$F100)</f>
        <v>556.92000000000007</v>
      </c>
      <c r="Y42" s="22">
        <f>M42*(1+'2-Data Input &amp; Assumptions'!$F100)</f>
        <v>556.92000000000007</v>
      </c>
      <c r="Z42" s="22">
        <f>N42*(1+'2-Data Input &amp; Assumptions'!$F100)</f>
        <v>1670.76</v>
      </c>
      <c r="AA42" s="22">
        <f>O42*(1+'2-Data Input &amp; Assumptions'!$F100)</f>
        <v>556.92000000000007</v>
      </c>
      <c r="AB42" s="23">
        <f>P42*(1+'2-Data Input &amp; Assumptions'!$F100)</f>
        <v>334.15199999999999</v>
      </c>
    </row>
    <row r="43" spans="2:28" x14ac:dyDescent="0.25">
      <c r="B43" s="20"/>
      <c r="C43" s="13"/>
      <c r="D43" s="21" t="str">
        <f>'2-Data Input &amp; Assumptions'!A9</f>
        <v xml:space="preserve"> USER FEES</v>
      </c>
      <c r="E43" s="22">
        <f>'2-Data Input &amp; Assumptions'!C78/1000</f>
        <v>297.5</v>
      </c>
      <c r="F43" s="22">
        <f>'2-Data Input &amp; Assumptions'!D78/1000</f>
        <v>297.5</v>
      </c>
      <c r="G43" s="22">
        <f>'2-Data Input &amp; Assumptions'!E78/1000</f>
        <v>297.5</v>
      </c>
      <c r="H43" s="22">
        <f>'2-Data Input &amp; Assumptions'!F78/1000</f>
        <v>297.5</v>
      </c>
      <c r="I43" s="22">
        <f>'2-Data Input &amp; Assumptions'!G78/1000</f>
        <v>297.5</v>
      </c>
      <c r="J43" s="22">
        <f>'2-Data Input &amp; Assumptions'!H78/1000</f>
        <v>297.5</v>
      </c>
      <c r="K43" s="22">
        <f>'2-Data Input &amp; Assumptions'!I78/1000</f>
        <v>297.5</v>
      </c>
      <c r="L43" s="22">
        <f>'2-Data Input &amp; Assumptions'!J78/1000</f>
        <v>297.5</v>
      </c>
      <c r="M43" s="22">
        <f>'2-Data Input &amp; Assumptions'!K78/1000</f>
        <v>297.5</v>
      </c>
      <c r="N43" s="22">
        <f>'2-Data Input &amp; Assumptions'!L78/1000</f>
        <v>297.5</v>
      </c>
      <c r="O43" s="22">
        <f>'2-Data Input &amp; Assumptions'!M78/1000</f>
        <v>297.5</v>
      </c>
      <c r="P43" s="22">
        <f>'2-Data Input &amp; Assumptions'!N78/1000</f>
        <v>297.5</v>
      </c>
      <c r="Q43" s="22">
        <f>E43*(1+'2-Data Input &amp; Assumptions'!$F101)</f>
        <v>303.48574879432078</v>
      </c>
      <c r="R43" s="22">
        <f>F43*(1+'2-Data Input &amp; Assumptions'!$F101)</f>
        <v>303.48574879432078</v>
      </c>
      <c r="S43" s="22">
        <f>G43*(1+'2-Data Input &amp; Assumptions'!$F101)</f>
        <v>303.48574879432078</v>
      </c>
      <c r="T43" s="22">
        <f>H43*(1+'2-Data Input &amp; Assumptions'!$F101)</f>
        <v>303.48574879432078</v>
      </c>
      <c r="U43" s="22">
        <f>I43*(1+'2-Data Input &amp; Assumptions'!$F101)</f>
        <v>303.48574879432078</v>
      </c>
      <c r="V43" s="22">
        <f>J43*(1+'2-Data Input &amp; Assumptions'!$F101)</f>
        <v>303.48574879432078</v>
      </c>
      <c r="W43" s="22">
        <f>K43*(1+'2-Data Input &amp; Assumptions'!$F101)</f>
        <v>303.48574879432078</v>
      </c>
      <c r="X43" s="22">
        <f>L43*(1+'2-Data Input &amp; Assumptions'!$F101)</f>
        <v>303.48574879432078</v>
      </c>
      <c r="Y43" s="22">
        <f>M43*(1+'2-Data Input &amp; Assumptions'!$F101)</f>
        <v>303.48574879432078</v>
      </c>
      <c r="Z43" s="22">
        <f>N43*(1+'2-Data Input &amp; Assumptions'!$F101)</f>
        <v>303.48574879432078</v>
      </c>
      <c r="AA43" s="22">
        <f>O43*(1+'2-Data Input &amp; Assumptions'!$F101)</f>
        <v>303.48574879432078</v>
      </c>
      <c r="AB43" s="23">
        <f>P43*(1+'2-Data Input &amp; Assumptions'!$F101)</f>
        <v>303.48574879432078</v>
      </c>
    </row>
    <row r="44" spans="2:28" x14ac:dyDescent="0.25">
      <c r="B44" s="20"/>
      <c r="C44" s="13"/>
      <c r="D44" s="21" t="str">
        <f>'2-Data Input &amp; Assumptions'!A10</f>
        <v xml:space="preserve"> SHARED REVENUES - FEDERAL</v>
      </c>
      <c r="E44" s="22">
        <f>'2-Data Input &amp; Assumptions'!C79/1000</f>
        <v>106.58333333333334</v>
      </c>
      <c r="F44" s="22">
        <f>'2-Data Input &amp; Assumptions'!D79/1000</f>
        <v>106.58333333333334</v>
      </c>
      <c r="G44" s="22">
        <f>'2-Data Input &amp; Assumptions'!E79/1000</f>
        <v>106.58333333333334</v>
      </c>
      <c r="H44" s="22">
        <f>'2-Data Input &amp; Assumptions'!F79/1000</f>
        <v>106.58333333333334</v>
      </c>
      <c r="I44" s="22">
        <f>'2-Data Input &amp; Assumptions'!G79/1000</f>
        <v>106.58333333333334</v>
      </c>
      <c r="J44" s="22">
        <f>'2-Data Input &amp; Assumptions'!H79/1000</f>
        <v>106.58333333333334</v>
      </c>
      <c r="K44" s="22">
        <f>'2-Data Input &amp; Assumptions'!I79/1000</f>
        <v>106.58333333333334</v>
      </c>
      <c r="L44" s="22">
        <f>'2-Data Input &amp; Assumptions'!J79/1000</f>
        <v>106.58333333333334</v>
      </c>
      <c r="M44" s="22">
        <f>'2-Data Input &amp; Assumptions'!K79/1000</f>
        <v>106.58333333333334</v>
      </c>
      <c r="N44" s="22">
        <f>'2-Data Input &amp; Assumptions'!L79/1000</f>
        <v>106.58333333333334</v>
      </c>
      <c r="O44" s="22">
        <f>'2-Data Input &amp; Assumptions'!M79/1000</f>
        <v>106.58333333333334</v>
      </c>
      <c r="P44" s="22">
        <f>'2-Data Input &amp; Assumptions'!N79/1000</f>
        <v>106.58333333333334</v>
      </c>
      <c r="Q44" s="22">
        <f>E44*(1+'2-Data Input &amp; Assumptions'!$F102)</f>
        <v>108.71500000000002</v>
      </c>
      <c r="R44" s="22">
        <f>F44*(1+'2-Data Input &amp; Assumptions'!$F102)</f>
        <v>108.71500000000002</v>
      </c>
      <c r="S44" s="22">
        <f>G44*(1+'2-Data Input &amp; Assumptions'!$F102)</f>
        <v>108.71500000000002</v>
      </c>
      <c r="T44" s="22">
        <f>H44*(1+'2-Data Input &amp; Assumptions'!$F102)</f>
        <v>108.71500000000002</v>
      </c>
      <c r="U44" s="22">
        <f>I44*(1+'2-Data Input &amp; Assumptions'!$F102)</f>
        <v>108.71500000000002</v>
      </c>
      <c r="V44" s="22">
        <f>J44*(1+'2-Data Input &amp; Assumptions'!$F102)</f>
        <v>108.71500000000002</v>
      </c>
      <c r="W44" s="22">
        <f>K44*(1+'2-Data Input &amp; Assumptions'!$F102)</f>
        <v>108.71500000000002</v>
      </c>
      <c r="X44" s="22">
        <f>L44*(1+'2-Data Input &amp; Assumptions'!$F102)</f>
        <v>108.71500000000002</v>
      </c>
      <c r="Y44" s="22">
        <f>M44*(1+'2-Data Input &amp; Assumptions'!$F102)</f>
        <v>108.71500000000002</v>
      </c>
      <c r="Z44" s="22">
        <f>N44*(1+'2-Data Input &amp; Assumptions'!$F102)</f>
        <v>108.71500000000002</v>
      </c>
      <c r="AA44" s="22">
        <f>O44*(1+'2-Data Input &amp; Assumptions'!$F102)</f>
        <v>108.71500000000002</v>
      </c>
      <c r="AB44" s="23">
        <f>P44*(1+'2-Data Input &amp; Assumptions'!$F102)</f>
        <v>108.71500000000002</v>
      </c>
    </row>
    <row r="45" spans="2:28" x14ac:dyDescent="0.25">
      <c r="B45" s="20"/>
      <c r="C45" s="13"/>
      <c r="D45" s="21" t="str">
        <f>'2-Data Input &amp; Assumptions'!A11</f>
        <v xml:space="preserve"> SHARED REVENUES - STATE</v>
      </c>
      <c r="E45" s="22">
        <f>'2-Data Input &amp; Assumptions'!C80/1000</f>
        <v>297.50000000000006</v>
      </c>
      <c r="F45" s="22">
        <f>'2-Data Input &amp; Assumptions'!D80/1000</f>
        <v>297.50000000000006</v>
      </c>
      <c r="G45" s="22">
        <f>'2-Data Input &amp; Assumptions'!E80/1000</f>
        <v>297.50000000000006</v>
      </c>
      <c r="H45" s="22">
        <f>'2-Data Input &amp; Assumptions'!F80/1000</f>
        <v>297.50000000000006</v>
      </c>
      <c r="I45" s="22">
        <f>'2-Data Input &amp; Assumptions'!G80/1000</f>
        <v>297.50000000000006</v>
      </c>
      <c r="J45" s="22">
        <f>'2-Data Input &amp; Assumptions'!H80/1000</f>
        <v>297.50000000000006</v>
      </c>
      <c r="K45" s="22">
        <f>'2-Data Input &amp; Assumptions'!I80/1000</f>
        <v>297.50000000000006</v>
      </c>
      <c r="L45" s="22">
        <f>'2-Data Input &amp; Assumptions'!J80/1000</f>
        <v>297.50000000000006</v>
      </c>
      <c r="M45" s="22">
        <f>'2-Data Input &amp; Assumptions'!K80/1000</f>
        <v>297.50000000000006</v>
      </c>
      <c r="N45" s="22">
        <f>'2-Data Input &amp; Assumptions'!L80/1000</f>
        <v>297.50000000000006</v>
      </c>
      <c r="O45" s="22">
        <f>'2-Data Input &amp; Assumptions'!M80/1000</f>
        <v>297.50000000000006</v>
      </c>
      <c r="P45" s="22">
        <f>'2-Data Input &amp; Assumptions'!N80/1000</f>
        <v>297.50000000000006</v>
      </c>
      <c r="Q45" s="22">
        <f>E45*(1+'2-Data Input &amp; Assumptions'!$F103)</f>
        <v>300.47500000000008</v>
      </c>
      <c r="R45" s="22">
        <f>F45*(1+'2-Data Input &amp; Assumptions'!$F103)</f>
        <v>300.47500000000008</v>
      </c>
      <c r="S45" s="22">
        <f>G45*(1+'2-Data Input &amp; Assumptions'!$F103)</f>
        <v>300.47500000000008</v>
      </c>
      <c r="T45" s="22">
        <f>H45*(1+'2-Data Input &amp; Assumptions'!$F103)</f>
        <v>300.47500000000008</v>
      </c>
      <c r="U45" s="22">
        <f>I45*(1+'2-Data Input &amp; Assumptions'!$F103)</f>
        <v>300.47500000000008</v>
      </c>
      <c r="V45" s="22">
        <f>J45*(1+'2-Data Input &amp; Assumptions'!$F103)</f>
        <v>300.47500000000008</v>
      </c>
      <c r="W45" s="22">
        <f>K45*(1+'2-Data Input &amp; Assumptions'!$F103)</f>
        <v>300.47500000000008</v>
      </c>
      <c r="X45" s="22">
        <f>L45*(1+'2-Data Input &amp; Assumptions'!$F103)</f>
        <v>300.47500000000008</v>
      </c>
      <c r="Y45" s="22">
        <f>M45*(1+'2-Data Input &amp; Assumptions'!$F103)</f>
        <v>300.47500000000008</v>
      </c>
      <c r="Z45" s="22">
        <f>N45*(1+'2-Data Input &amp; Assumptions'!$F103)</f>
        <v>300.47500000000008</v>
      </c>
      <c r="AA45" s="22">
        <f>O45*(1+'2-Data Input &amp; Assumptions'!$F103)</f>
        <v>300.47500000000008</v>
      </c>
      <c r="AB45" s="23">
        <f>P45*(1+'2-Data Input &amp; Assumptions'!$F103)</f>
        <v>300.47500000000008</v>
      </c>
    </row>
    <row r="46" spans="2:28" x14ac:dyDescent="0.25">
      <c r="B46" s="20"/>
      <c r="C46" s="13"/>
      <c r="D46" s="21" t="str">
        <f>'2-Data Input &amp; Assumptions'!A12</f>
        <v xml:space="preserve"> SHARED REVENUES - LOCAL</v>
      </c>
      <c r="E46" s="22">
        <f>'2-Data Input &amp; Assumptions'!C81/1000</f>
        <v>4.5833333333333348</v>
      </c>
      <c r="F46" s="22">
        <f>'2-Data Input &amp; Assumptions'!D81/1000</f>
        <v>4.5833333333333348</v>
      </c>
      <c r="G46" s="22">
        <f>'2-Data Input &amp; Assumptions'!E81/1000</f>
        <v>4.5833333333333348</v>
      </c>
      <c r="H46" s="22">
        <f>'2-Data Input &amp; Assumptions'!F81/1000</f>
        <v>4.5833333333333348</v>
      </c>
      <c r="I46" s="22">
        <f>'2-Data Input &amp; Assumptions'!G81/1000</f>
        <v>4.5833333333333348</v>
      </c>
      <c r="J46" s="22">
        <f>'2-Data Input &amp; Assumptions'!H81/1000</f>
        <v>4.5833333333333348</v>
      </c>
      <c r="K46" s="22">
        <f>'2-Data Input &amp; Assumptions'!I81/1000</f>
        <v>4.5833333333333348</v>
      </c>
      <c r="L46" s="22">
        <f>'2-Data Input &amp; Assumptions'!J81/1000</f>
        <v>4.5833333333333348</v>
      </c>
      <c r="M46" s="22">
        <f>'2-Data Input &amp; Assumptions'!K81/1000</f>
        <v>4.5833333333333348</v>
      </c>
      <c r="N46" s="22">
        <f>'2-Data Input &amp; Assumptions'!L81/1000</f>
        <v>4.5833333333333348</v>
      </c>
      <c r="O46" s="22">
        <f>'2-Data Input &amp; Assumptions'!M81/1000</f>
        <v>4.5833333333333348</v>
      </c>
      <c r="P46" s="22">
        <f>'2-Data Input &amp; Assumptions'!N81/1000</f>
        <v>4.5833333333333348</v>
      </c>
      <c r="Q46" s="22">
        <f>E46*(1+'2-Data Input &amp; Assumptions'!$F104)</f>
        <v>4.6291666666666682</v>
      </c>
      <c r="R46" s="22">
        <f>F46*(1+'2-Data Input &amp; Assumptions'!$F104)</f>
        <v>4.6291666666666682</v>
      </c>
      <c r="S46" s="22">
        <f>G46*(1+'2-Data Input &amp; Assumptions'!$F104)</f>
        <v>4.6291666666666682</v>
      </c>
      <c r="T46" s="22">
        <f>H46*(1+'2-Data Input &amp; Assumptions'!$F104)</f>
        <v>4.6291666666666682</v>
      </c>
      <c r="U46" s="22">
        <f>I46*(1+'2-Data Input &amp; Assumptions'!$F104)</f>
        <v>4.6291666666666682</v>
      </c>
      <c r="V46" s="22">
        <f>J46*(1+'2-Data Input &amp; Assumptions'!$F104)</f>
        <v>4.6291666666666682</v>
      </c>
      <c r="W46" s="22">
        <f>K46*(1+'2-Data Input &amp; Assumptions'!$F104)</f>
        <v>4.6291666666666682</v>
      </c>
      <c r="X46" s="22">
        <f>L46*(1+'2-Data Input &amp; Assumptions'!$F104)</f>
        <v>4.6291666666666682</v>
      </c>
      <c r="Y46" s="22">
        <f>M46*(1+'2-Data Input &amp; Assumptions'!$F104)</f>
        <v>4.6291666666666682</v>
      </c>
      <c r="Z46" s="22">
        <f>N46*(1+'2-Data Input &amp; Assumptions'!$F104)</f>
        <v>4.6291666666666682</v>
      </c>
      <c r="AA46" s="22">
        <f>O46*(1+'2-Data Input &amp; Assumptions'!$F104)</f>
        <v>4.6291666666666682</v>
      </c>
      <c r="AB46" s="23">
        <f>P46*(1+'2-Data Input &amp; Assumptions'!$F104)</f>
        <v>4.6291666666666682</v>
      </c>
    </row>
    <row r="47" spans="2:28" x14ac:dyDescent="0.25">
      <c r="B47" s="20"/>
      <c r="C47" s="13"/>
      <c r="D47" s="21" t="str">
        <f>'2-Data Input &amp; Assumptions'!A13</f>
        <v xml:space="preserve"> INVESTMENT INCOME</v>
      </c>
      <c r="E47" s="22">
        <f>'2-Data Input &amp; Assumptions'!C82/1000</f>
        <v>2.166666666666667</v>
      </c>
      <c r="F47" s="22">
        <f>'2-Data Input &amp; Assumptions'!D82/1000</f>
        <v>2.166666666666667</v>
      </c>
      <c r="G47" s="22">
        <f>'2-Data Input &amp; Assumptions'!E82/1000</f>
        <v>2.166666666666667</v>
      </c>
      <c r="H47" s="22">
        <f>'2-Data Input &amp; Assumptions'!F82/1000</f>
        <v>2.166666666666667</v>
      </c>
      <c r="I47" s="22">
        <f>'2-Data Input &amp; Assumptions'!G82/1000</f>
        <v>2.166666666666667</v>
      </c>
      <c r="J47" s="22">
        <f>'2-Data Input &amp; Assumptions'!H82/1000</f>
        <v>2.166666666666667</v>
      </c>
      <c r="K47" s="22">
        <f>'2-Data Input &amp; Assumptions'!I82/1000</f>
        <v>2.166666666666667</v>
      </c>
      <c r="L47" s="22">
        <f>'2-Data Input &amp; Assumptions'!J82/1000</f>
        <v>2.166666666666667</v>
      </c>
      <c r="M47" s="22">
        <f>'2-Data Input &amp; Assumptions'!K82/1000</f>
        <v>2.166666666666667</v>
      </c>
      <c r="N47" s="22">
        <f>'2-Data Input &amp; Assumptions'!L82/1000</f>
        <v>2.166666666666667</v>
      </c>
      <c r="O47" s="22">
        <f>'2-Data Input &amp; Assumptions'!M82/1000</f>
        <v>2.166666666666667</v>
      </c>
      <c r="P47" s="22">
        <f>'2-Data Input &amp; Assumptions'!N82/1000</f>
        <v>2.166666666666667</v>
      </c>
      <c r="Q47" s="22">
        <f>E47*(1+'2-Data Input &amp; Assumptions'!$F105)</f>
        <v>2.1883333333333335</v>
      </c>
      <c r="R47" s="22">
        <f>F47*(1+'2-Data Input &amp; Assumptions'!$F105)</f>
        <v>2.1883333333333335</v>
      </c>
      <c r="S47" s="22">
        <f>G47*(1+'2-Data Input &amp; Assumptions'!$F105)</f>
        <v>2.1883333333333335</v>
      </c>
      <c r="T47" s="22">
        <f>H47*(1+'2-Data Input &amp; Assumptions'!$F105)</f>
        <v>2.1883333333333335</v>
      </c>
      <c r="U47" s="22">
        <f>I47*(1+'2-Data Input &amp; Assumptions'!$F105)</f>
        <v>2.1883333333333335</v>
      </c>
      <c r="V47" s="22">
        <f>J47*(1+'2-Data Input &amp; Assumptions'!$F105)</f>
        <v>2.1883333333333335</v>
      </c>
      <c r="W47" s="22">
        <f>K47*(1+'2-Data Input &amp; Assumptions'!$F105)</f>
        <v>2.1883333333333335</v>
      </c>
      <c r="X47" s="22">
        <f>L47*(1+'2-Data Input &amp; Assumptions'!$F105)</f>
        <v>2.1883333333333335</v>
      </c>
      <c r="Y47" s="22">
        <f>M47*(1+'2-Data Input &amp; Assumptions'!$F105)</f>
        <v>2.1883333333333335</v>
      </c>
      <c r="Z47" s="22">
        <f>N47*(1+'2-Data Input &amp; Assumptions'!$F105)</f>
        <v>2.1883333333333335</v>
      </c>
      <c r="AA47" s="22">
        <f>O47*(1+'2-Data Input &amp; Assumptions'!$F105)</f>
        <v>2.1883333333333335</v>
      </c>
      <c r="AB47" s="23">
        <f>P47*(1+'2-Data Input &amp; Assumptions'!$F105)</f>
        <v>2.1883333333333335</v>
      </c>
    </row>
    <row r="48" spans="2:28" x14ac:dyDescent="0.25">
      <c r="B48" s="20"/>
      <c r="C48" s="13"/>
      <c r="D48" s="21" t="str">
        <f>'2-Data Input &amp; Assumptions'!A14</f>
        <v xml:space="preserve"> OTHER INCOME</v>
      </c>
      <c r="E48" s="22">
        <f>'2-Data Input &amp; Assumptions'!C83/1000</f>
        <v>1.25</v>
      </c>
      <c r="F48" s="22">
        <f>'2-Data Input &amp; Assumptions'!D83/1000</f>
        <v>1.25</v>
      </c>
      <c r="G48" s="22">
        <f>'2-Data Input &amp; Assumptions'!E83/1000</f>
        <v>1.25</v>
      </c>
      <c r="H48" s="22">
        <f>'2-Data Input &amp; Assumptions'!F83/1000</f>
        <v>1.25</v>
      </c>
      <c r="I48" s="22">
        <f>'2-Data Input &amp; Assumptions'!G83/1000</f>
        <v>1.25</v>
      </c>
      <c r="J48" s="22">
        <f>'2-Data Input &amp; Assumptions'!H83/1000</f>
        <v>1.25</v>
      </c>
      <c r="K48" s="22">
        <f>'2-Data Input &amp; Assumptions'!I83/1000</f>
        <v>1.25</v>
      </c>
      <c r="L48" s="22">
        <f>'2-Data Input &amp; Assumptions'!J83/1000</f>
        <v>1.25</v>
      </c>
      <c r="M48" s="22">
        <f>'2-Data Input &amp; Assumptions'!K83/1000</f>
        <v>1.25</v>
      </c>
      <c r="N48" s="22">
        <f>'2-Data Input &amp; Assumptions'!L83/1000</f>
        <v>1.25</v>
      </c>
      <c r="O48" s="22">
        <f>'2-Data Input &amp; Assumptions'!M83/1000</f>
        <v>1.25</v>
      </c>
      <c r="P48" s="22">
        <f>'2-Data Input &amp; Assumptions'!N83/1000</f>
        <v>1.25</v>
      </c>
      <c r="Q48" s="22">
        <f>E48*(1+'2-Data Input &amp; Assumptions'!$F106)</f>
        <v>1.3125</v>
      </c>
      <c r="R48" s="22">
        <f>F48*(1+'2-Data Input &amp; Assumptions'!$F106)</f>
        <v>1.3125</v>
      </c>
      <c r="S48" s="22">
        <f>G48*(1+'2-Data Input &amp; Assumptions'!$F106)</f>
        <v>1.3125</v>
      </c>
      <c r="T48" s="22">
        <f>H48*(1+'2-Data Input &amp; Assumptions'!$F106)</f>
        <v>1.3125</v>
      </c>
      <c r="U48" s="22">
        <f>I48*(1+'2-Data Input &amp; Assumptions'!$F106)</f>
        <v>1.3125</v>
      </c>
      <c r="V48" s="22">
        <f>J48*(1+'2-Data Input &amp; Assumptions'!$F106)</f>
        <v>1.3125</v>
      </c>
      <c r="W48" s="22">
        <f>K48*(1+'2-Data Input &amp; Assumptions'!$F106)</f>
        <v>1.3125</v>
      </c>
      <c r="X48" s="22">
        <f>L48*(1+'2-Data Input &amp; Assumptions'!$F106)</f>
        <v>1.3125</v>
      </c>
      <c r="Y48" s="22">
        <f>M48*(1+'2-Data Input &amp; Assumptions'!$F106)</f>
        <v>1.3125</v>
      </c>
      <c r="Z48" s="22">
        <f>N48*(1+'2-Data Input &amp; Assumptions'!$F106)</f>
        <v>1.3125</v>
      </c>
      <c r="AA48" s="22">
        <f>O48*(1+'2-Data Input &amp; Assumptions'!$F106)</f>
        <v>1.3125</v>
      </c>
      <c r="AB48" s="23">
        <f>P48*(1+'2-Data Input &amp; Assumptions'!$F106)</f>
        <v>1.3125</v>
      </c>
    </row>
    <row r="49" spans="2:28" x14ac:dyDescent="0.25">
      <c r="B49" s="20"/>
      <c r="C49" s="13"/>
      <c r="D49" s="21" t="str">
        <f>'2-Data Input &amp; Assumptions'!A15</f>
        <v xml:space="preserve"> OTHER SOURCE</v>
      </c>
      <c r="E49" s="22">
        <f>'2-Data Input &amp; Assumptions'!C84/1000</f>
        <v>0</v>
      </c>
      <c r="F49" s="22">
        <f>'2-Data Input &amp; Assumptions'!D84/1000</f>
        <v>0</v>
      </c>
      <c r="G49" s="22">
        <f>'2-Data Input &amp; Assumptions'!E84/1000</f>
        <v>0</v>
      </c>
      <c r="H49" s="22">
        <f>'2-Data Input &amp; Assumptions'!F84/1000</f>
        <v>0</v>
      </c>
      <c r="I49" s="22">
        <f>'2-Data Input &amp; Assumptions'!G84/1000</f>
        <v>0</v>
      </c>
      <c r="J49" s="22">
        <f>'2-Data Input &amp; Assumptions'!H84/1000</f>
        <v>0</v>
      </c>
      <c r="K49" s="22">
        <f>'2-Data Input &amp; Assumptions'!I84/1000</f>
        <v>0</v>
      </c>
      <c r="L49" s="22">
        <f>'2-Data Input &amp; Assumptions'!J84/1000</f>
        <v>0</v>
      </c>
      <c r="M49" s="22">
        <f>'2-Data Input &amp; Assumptions'!K84/1000</f>
        <v>0</v>
      </c>
      <c r="N49" s="22">
        <f>'2-Data Input &amp; Assumptions'!L84/1000</f>
        <v>0</v>
      </c>
      <c r="O49" s="22">
        <f>'2-Data Input &amp; Assumptions'!M84/1000</f>
        <v>0</v>
      </c>
      <c r="P49" s="22">
        <f>'2-Data Input &amp; Assumptions'!N84/1000</f>
        <v>0</v>
      </c>
      <c r="Q49" s="22">
        <f>E49*(1+'2-Data Input &amp; Assumptions'!$F107)</f>
        <v>0</v>
      </c>
      <c r="R49" s="22">
        <f>F49*(1+'2-Data Input &amp; Assumptions'!$F107)</f>
        <v>0</v>
      </c>
      <c r="S49" s="22">
        <f>G49*(1+'2-Data Input &amp; Assumptions'!$F107)</f>
        <v>0</v>
      </c>
      <c r="T49" s="22">
        <f>H49*(1+'2-Data Input &amp; Assumptions'!$F107)</f>
        <v>0</v>
      </c>
      <c r="U49" s="22">
        <f>I49*(1+'2-Data Input &amp; Assumptions'!$F107)</f>
        <v>0</v>
      </c>
      <c r="V49" s="22">
        <f>J49*(1+'2-Data Input &amp; Assumptions'!$F107)</f>
        <v>0</v>
      </c>
      <c r="W49" s="22">
        <f>K49*(1+'2-Data Input &amp; Assumptions'!$F107)</f>
        <v>0</v>
      </c>
      <c r="X49" s="22">
        <f>L49*(1+'2-Data Input &amp; Assumptions'!$F107)</f>
        <v>0</v>
      </c>
      <c r="Y49" s="22">
        <f>M49*(1+'2-Data Input &amp; Assumptions'!$F107)</f>
        <v>0</v>
      </c>
      <c r="Z49" s="22">
        <f>N49*(1+'2-Data Input &amp; Assumptions'!$F107)</f>
        <v>0</v>
      </c>
      <c r="AA49" s="22">
        <f>O49*(1+'2-Data Input &amp; Assumptions'!$F107)</f>
        <v>0</v>
      </c>
      <c r="AB49" s="23">
        <f>P49*(1+'2-Data Input &amp; Assumptions'!$F107)</f>
        <v>0</v>
      </c>
    </row>
    <row r="50" spans="2:28" x14ac:dyDescent="0.25">
      <c r="B50" s="20"/>
      <c r="C50" s="13"/>
      <c r="D50" s="21" t="str">
        <f>'2-Data Input &amp; Assumptions'!A16</f>
        <v xml:space="preserve"> OTHER SOURCE</v>
      </c>
      <c r="E50" s="22">
        <f>'2-Data Input &amp; Assumptions'!C85/1000</f>
        <v>0</v>
      </c>
      <c r="F50" s="22">
        <f>'2-Data Input &amp; Assumptions'!D85/1000</f>
        <v>0</v>
      </c>
      <c r="G50" s="22">
        <f>'2-Data Input &amp; Assumptions'!E85/1000</f>
        <v>0</v>
      </c>
      <c r="H50" s="22">
        <f>'2-Data Input &amp; Assumptions'!F85/1000</f>
        <v>0</v>
      </c>
      <c r="I50" s="22">
        <f>'2-Data Input &amp; Assumptions'!G85/1000</f>
        <v>0</v>
      </c>
      <c r="J50" s="22">
        <f>'2-Data Input &amp; Assumptions'!H85/1000</f>
        <v>0</v>
      </c>
      <c r="K50" s="22">
        <f>'2-Data Input &amp; Assumptions'!I85/1000</f>
        <v>0</v>
      </c>
      <c r="L50" s="22">
        <f>'2-Data Input &amp; Assumptions'!J85/1000</f>
        <v>0</v>
      </c>
      <c r="M50" s="22">
        <f>'2-Data Input &amp; Assumptions'!K85/1000</f>
        <v>0</v>
      </c>
      <c r="N50" s="22">
        <f>'2-Data Input &amp; Assumptions'!L85/1000</f>
        <v>0</v>
      </c>
      <c r="O50" s="22">
        <f>'2-Data Input &amp; Assumptions'!M85/1000</f>
        <v>0</v>
      </c>
      <c r="P50" s="22">
        <f>'2-Data Input &amp; Assumptions'!N85/1000</f>
        <v>0</v>
      </c>
      <c r="Q50" s="22">
        <f>E50*(1+'2-Data Input &amp; Assumptions'!$F108)</f>
        <v>0</v>
      </c>
      <c r="R50" s="22">
        <f>F50*(1+'2-Data Input &amp; Assumptions'!$F108)</f>
        <v>0</v>
      </c>
      <c r="S50" s="22">
        <f>G50*(1+'2-Data Input &amp; Assumptions'!$F108)</f>
        <v>0</v>
      </c>
      <c r="T50" s="22">
        <f>H50*(1+'2-Data Input &amp; Assumptions'!$F108)</f>
        <v>0</v>
      </c>
      <c r="U50" s="22">
        <f>I50*(1+'2-Data Input &amp; Assumptions'!$F108)</f>
        <v>0</v>
      </c>
      <c r="V50" s="22">
        <f>J50*(1+'2-Data Input &amp; Assumptions'!$F108)</f>
        <v>0</v>
      </c>
      <c r="W50" s="22">
        <f>K50*(1+'2-Data Input &amp; Assumptions'!$F108)</f>
        <v>0</v>
      </c>
      <c r="X50" s="22">
        <f>L50*(1+'2-Data Input &amp; Assumptions'!$F108)</f>
        <v>0</v>
      </c>
      <c r="Y50" s="22">
        <f>M50*(1+'2-Data Input &amp; Assumptions'!$F108)</f>
        <v>0</v>
      </c>
      <c r="Z50" s="22">
        <f>N50*(1+'2-Data Input &amp; Assumptions'!$F108)</f>
        <v>0</v>
      </c>
      <c r="AA50" s="22">
        <f>O50*(1+'2-Data Input &amp; Assumptions'!$F108)</f>
        <v>0</v>
      </c>
      <c r="AB50" s="23">
        <f>P50*(1+'2-Data Input &amp; Assumptions'!$F108)</f>
        <v>0</v>
      </c>
    </row>
    <row r="51" spans="2:28" ht="15.75" thickBot="1" x14ac:dyDescent="0.3">
      <c r="B51" s="24"/>
      <c r="C51" s="25"/>
      <c r="D51" s="26" t="s">
        <v>4</v>
      </c>
      <c r="E51" s="27">
        <f>SUM(E42:E50)</f>
        <v>1137.9833333333333</v>
      </c>
      <c r="F51" s="27">
        <f t="shared" ref="F51:Q51" si="1">SUM(F42:F50)</f>
        <v>1137.9833333333333</v>
      </c>
      <c r="G51" s="27">
        <f t="shared" si="1"/>
        <v>1137.9833333333333</v>
      </c>
      <c r="H51" s="27">
        <f t="shared" si="1"/>
        <v>1137.9833333333333</v>
      </c>
      <c r="I51" s="27">
        <f t="shared" si="1"/>
        <v>1352.1833333333332</v>
      </c>
      <c r="J51" s="27">
        <f t="shared" si="1"/>
        <v>4993.583333333333</v>
      </c>
      <c r="K51" s="27">
        <f t="shared" si="1"/>
        <v>1245.0833333333335</v>
      </c>
      <c r="L51" s="27">
        <f t="shared" si="1"/>
        <v>1245.0833333333335</v>
      </c>
      <c r="M51" s="27">
        <f t="shared" si="1"/>
        <v>1245.0833333333335</v>
      </c>
      <c r="N51" s="27">
        <f t="shared" si="1"/>
        <v>2316.0833333333335</v>
      </c>
      <c r="O51" s="27">
        <f t="shared" si="1"/>
        <v>1245.0833333333335</v>
      </c>
      <c r="P51" s="27">
        <f t="shared" si="1"/>
        <v>1030.8833333333334</v>
      </c>
      <c r="Q51" s="27">
        <f t="shared" si="1"/>
        <v>1166.3417487943207</v>
      </c>
      <c r="R51" s="27">
        <f t="shared" ref="R51:AB51" si="2">SUM(R42:R50)</f>
        <v>1166.3417487943207</v>
      </c>
      <c r="S51" s="27">
        <f t="shared" si="2"/>
        <v>1166.3417487943207</v>
      </c>
      <c r="T51" s="27">
        <f t="shared" si="2"/>
        <v>1166.3417487943207</v>
      </c>
      <c r="U51" s="27">
        <f t="shared" si="2"/>
        <v>1389.1097487943207</v>
      </c>
      <c r="V51" s="27">
        <f t="shared" si="2"/>
        <v>5176.1657487943221</v>
      </c>
      <c r="W51" s="27">
        <f t="shared" si="2"/>
        <v>1277.7257487943209</v>
      </c>
      <c r="X51" s="27">
        <f t="shared" si="2"/>
        <v>1277.7257487943209</v>
      </c>
      <c r="Y51" s="27">
        <f t="shared" si="2"/>
        <v>1277.7257487943209</v>
      </c>
      <c r="Z51" s="27">
        <f t="shared" si="2"/>
        <v>2391.5657487943208</v>
      </c>
      <c r="AA51" s="27">
        <f t="shared" si="2"/>
        <v>1277.7257487943209</v>
      </c>
      <c r="AB51" s="28">
        <f t="shared" si="2"/>
        <v>1054.9577487943207</v>
      </c>
    </row>
    <row r="52" spans="2:28" x14ac:dyDescent="0.25">
      <c r="B52" s="29"/>
      <c r="C52" s="17"/>
      <c r="D52" s="18" t="str">
        <f>'2-Data Input &amp; Assumptions'!A19</f>
        <v xml:space="preserve"> PAYROLL &amp; BENEFITS</v>
      </c>
      <c r="E52" s="19">
        <f>'2-Data Input &amp; Assumptions'!C88/1000</f>
        <v>961.53846153846143</v>
      </c>
      <c r="F52" s="19">
        <f>'2-Data Input &amp; Assumptions'!D88/1000</f>
        <v>961.53846153846143</v>
      </c>
      <c r="G52" s="19">
        <f>'2-Data Input &amp; Assumptions'!E88/1000</f>
        <v>961.53846153846143</v>
      </c>
      <c r="H52" s="19">
        <f>'2-Data Input &amp; Assumptions'!F88/1000</f>
        <v>1442.3076923076924</v>
      </c>
      <c r="I52" s="19">
        <f>'2-Data Input &amp; Assumptions'!G88/1000</f>
        <v>961.53846153846143</v>
      </c>
      <c r="J52" s="19">
        <f>'2-Data Input &amp; Assumptions'!H88/1000</f>
        <v>961.53846153846143</v>
      </c>
      <c r="K52" s="19">
        <f>'2-Data Input &amp; Assumptions'!I88/1000</f>
        <v>961.53846153846143</v>
      </c>
      <c r="L52" s="19">
        <f>'2-Data Input &amp; Assumptions'!J88/1000</f>
        <v>961.53846153846143</v>
      </c>
      <c r="M52" s="19">
        <f>'2-Data Input &amp; Assumptions'!K88/1000</f>
        <v>961.53846153846143</v>
      </c>
      <c r="N52" s="19">
        <f>'2-Data Input &amp; Assumptions'!L88/1000</f>
        <v>961.53846153846143</v>
      </c>
      <c r="O52" s="19">
        <f>'2-Data Input &amp; Assumptions'!M88/1000</f>
        <v>1442.3076923076924</v>
      </c>
      <c r="P52" s="19">
        <f>'2-Data Input &amp; Assumptions'!N88/1000</f>
        <v>961.53846153846143</v>
      </c>
      <c r="Q52" s="22">
        <f>E52*(1+'2-Data Input &amp; Assumptions'!$F111)</f>
        <v>980.92696511605357</v>
      </c>
      <c r="R52" s="22">
        <f>F52*(1+'2-Data Input &amp; Assumptions'!$F111)</f>
        <v>980.92696511605357</v>
      </c>
      <c r="S52" s="22">
        <f>G52*(1+'2-Data Input &amp; Assumptions'!$F111)</f>
        <v>980.92696511605357</v>
      </c>
      <c r="T52" s="22">
        <f>H52*(1+'2-Data Input &amp; Assumptions'!$F111)</f>
        <v>1471.3904476740806</v>
      </c>
      <c r="U52" s="22">
        <f>I52*(1+'2-Data Input &amp; Assumptions'!$F111)</f>
        <v>980.92696511605357</v>
      </c>
      <c r="V52" s="22">
        <f>J52*(1+'2-Data Input &amp; Assumptions'!$F111)</f>
        <v>980.92696511605357</v>
      </c>
      <c r="W52" s="22">
        <f>K52*(1+'2-Data Input &amp; Assumptions'!$F111)</f>
        <v>980.92696511605357</v>
      </c>
      <c r="X52" s="22">
        <f>L52*(1+'2-Data Input &amp; Assumptions'!$F111)</f>
        <v>980.92696511605357</v>
      </c>
      <c r="Y52" s="22">
        <f>M52*(1+'2-Data Input &amp; Assumptions'!$F111)</f>
        <v>980.92696511605357</v>
      </c>
      <c r="Z52" s="22">
        <f>N52*(1+'2-Data Input &amp; Assumptions'!$F111)</f>
        <v>980.92696511605357</v>
      </c>
      <c r="AA52" s="22">
        <f>O52*(1+'2-Data Input &amp; Assumptions'!$F111)</f>
        <v>1471.3904476740806</v>
      </c>
      <c r="AB52" s="23">
        <f>P52*(1+'2-Data Input &amp; Assumptions'!$F111)</f>
        <v>980.92696511605357</v>
      </c>
    </row>
    <row r="53" spans="2:28" x14ac:dyDescent="0.25">
      <c r="B53" s="30"/>
      <c r="C53" s="13"/>
      <c r="D53" s="21" t="str">
        <f>'2-Data Input &amp; Assumptions'!A20</f>
        <v xml:space="preserve"> GENERAL ADMINISTRATIVE</v>
      </c>
      <c r="E53" s="22">
        <f>'2-Data Input &amp; Assumptions'!C89/1000</f>
        <v>207.83333333333331</v>
      </c>
      <c r="F53" s="22">
        <f>'2-Data Input &amp; Assumptions'!D89/1000</f>
        <v>207.83333333333331</v>
      </c>
      <c r="G53" s="22">
        <f>'2-Data Input &amp; Assumptions'!E89/1000</f>
        <v>207.83333333333331</v>
      </c>
      <c r="H53" s="22">
        <f>'2-Data Input &amp; Assumptions'!F89/1000</f>
        <v>207.83333333333331</v>
      </c>
      <c r="I53" s="22">
        <f>'2-Data Input &amp; Assumptions'!G89/1000</f>
        <v>207.83333333333331</v>
      </c>
      <c r="J53" s="22">
        <f>'2-Data Input &amp; Assumptions'!H89/1000</f>
        <v>207.83333333333331</v>
      </c>
      <c r="K53" s="22">
        <f>'2-Data Input &amp; Assumptions'!I89/1000</f>
        <v>207.83333333333331</v>
      </c>
      <c r="L53" s="22">
        <f>'2-Data Input &amp; Assumptions'!J89/1000</f>
        <v>207.83333333333331</v>
      </c>
      <c r="M53" s="22">
        <f>'2-Data Input &amp; Assumptions'!K89/1000</f>
        <v>207.83333333333331</v>
      </c>
      <c r="N53" s="22">
        <f>'2-Data Input &amp; Assumptions'!L89/1000</f>
        <v>207.83333333333331</v>
      </c>
      <c r="O53" s="22">
        <f>'2-Data Input &amp; Assumptions'!M89/1000</f>
        <v>207.83333333333331</v>
      </c>
      <c r="P53" s="22">
        <f>'2-Data Input &amp; Assumptions'!N89/1000</f>
        <v>207.83333333333331</v>
      </c>
      <c r="Q53" s="22">
        <f>E53*(1+'2-Data Input &amp; Assumptions'!$F112)</f>
        <v>212.00918615769643</v>
      </c>
      <c r="R53" s="22">
        <f>F53*(1+'2-Data Input &amp; Assumptions'!$F112)</f>
        <v>212.00918615769643</v>
      </c>
      <c r="S53" s="22">
        <f>G53*(1+'2-Data Input &amp; Assumptions'!$F112)</f>
        <v>212.00918615769643</v>
      </c>
      <c r="T53" s="22">
        <f>H53*(1+'2-Data Input &amp; Assumptions'!$F112)</f>
        <v>212.00918615769643</v>
      </c>
      <c r="U53" s="22">
        <f>I53*(1+'2-Data Input &amp; Assumptions'!$F112)</f>
        <v>212.00918615769643</v>
      </c>
      <c r="V53" s="22">
        <f>J53*(1+'2-Data Input &amp; Assumptions'!$F112)</f>
        <v>212.00918615769643</v>
      </c>
      <c r="W53" s="22">
        <f>K53*(1+'2-Data Input &amp; Assumptions'!$F112)</f>
        <v>212.00918615769643</v>
      </c>
      <c r="X53" s="22">
        <f>L53*(1+'2-Data Input &amp; Assumptions'!$F112)</f>
        <v>212.00918615769643</v>
      </c>
      <c r="Y53" s="22">
        <f>M53*(1+'2-Data Input &amp; Assumptions'!$F112)</f>
        <v>212.00918615769643</v>
      </c>
      <c r="Z53" s="22">
        <f>N53*(1+'2-Data Input &amp; Assumptions'!$F112)</f>
        <v>212.00918615769643</v>
      </c>
      <c r="AA53" s="22">
        <f>O53*(1+'2-Data Input &amp; Assumptions'!$F112)</f>
        <v>212.00918615769643</v>
      </c>
      <c r="AB53" s="23">
        <f>P53*(1+'2-Data Input &amp; Assumptions'!$F112)</f>
        <v>212.00918615769643</v>
      </c>
    </row>
    <row r="54" spans="2:28" x14ac:dyDescent="0.25">
      <c r="B54" s="30"/>
      <c r="C54" s="13"/>
      <c r="D54" s="21" t="str">
        <f>'2-Data Input &amp; Assumptions'!A21</f>
        <v xml:space="preserve"> COMMODITIES</v>
      </c>
      <c r="E54" s="22">
        <f>'2-Data Input &amp; Assumptions'!C90/1000</f>
        <v>293.75</v>
      </c>
      <c r="F54" s="22">
        <f>'2-Data Input &amp; Assumptions'!D90/1000</f>
        <v>293.75</v>
      </c>
      <c r="G54" s="22">
        <f>'2-Data Input &amp; Assumptions'!E90/1000</f>
        <v>293.75</v>
      </c>
      <c r="H54" s="22">
        <f>'2-Data Input &amp; Assumptions'!F90/1000</f>
        <v>293.75</v>
      </c>
      <c r="I54" s="22">
        <f>'2-Data Input &amp; Assumptions'!G90/1000</f>
        <v>293.75</v>
      </c>
      <c r="J54" s="22">
        <f>'2-Data Input &amp; Assumptions'!H90/1000</f>
        <v>293.75</v>
      </c>
      <c r="K54" s="22">
        <f>'2-Data Input &amp; Assumptions'!I90/1000</f>
        <v>293.75</v>
      </c>
      <c r="L54" s="22">
        <f>'2-Data Input &amp; Assumptions'!J90/1000</f>
        <v>293.75</v>
      </c>
      <c r="M54" s="22">
        <f>'2-Data Input &amp; Assumptions'!K90/1000</f>
        <v>293.75</v>
      </c>
      <c r="N54" s="22">
        <f>'2-Data Input &amp; Assumptions'!L90/1000</f>
        <v>293.75</v>
      </c>
      <c r="O54" s="22">
        <f>'2-Data Input &amp; Assumptions'!M90/1000</f>
        <v>293.75</v>
      </c>
      <c r="P54" s="22">
        <f>'2-Data Input &amp; Assumptions'!N90/1000</f>
        <v>293.75</v>
      </c>
      <c r="Q54" s="22">
        <f>E54*(1+'2-Data Input &amp; Assumptions'!$F113)</f>
        <v>299.64604608441192</v>
      </c>
      <c r="R54" s="22">
        <f>F54*(1+'2-Data Input &amp; Assumptions'!$F113)</f>
        <v>299.64604608441192</v>
      </c>
      <c r="S54" s="22">
        <f>G54*(1+'2-Data Input &amp; Assumptions'!$F113)</f>
        <v>299.64604608441192</v>
      </c>
      <c r="T54" s="22">
        <f>H54*(1+'2-Data Input &amp; Assumptions'!$F113)</f>
        <v>299.64604608441192</v>
      </c>
      <c r="U54" s="22">
        <f>I54*(1+'2-Data Input &amp; Assumptions'!$F113)</f>
        <v>299.64604608441192</v>
      </c>
      <c r="V54" s="22">
        <f>J54*(1+'2-Data Input &amp; Assumptions'!$F113)</f>
        <v>299.64604608441192</v>
      </c>
      <c r="W54" s="22">
        <f>K54*(1+'2-Data Input &amp; Assumptions'!$F113)</f>
        <v>299.64604608441192</v>
      </c>
      <c r="X54" s="22">
        <f>L54*(1+'2-Data Input &amp; Assumptions'!$F113)</f>
        <v>299.64604608441192</v>
      </c>
      <c r="Y54" s="22">
        <f>M54*(1+'2-Data Input &amp; Assumptions'!$F113)</f>
        <v>299.64604608441192</v>
      </c>
      <c r="Z54" s="22">
        <f>N54*(1+'2-Data Input &amp; Assumptions'!$F113)</f>
        <v>299.64604608441192</v>
      </c>
      <c r="AA54" s="22">
        <f>O54*(1+'2-Data Input &amp; Assumptions'!$F113)</f>
        <v>299.64604608441192</v>
      </c>
      <c r="AB54" s="23">
        <f>P54*(1+'2-Data Input &amp; Assumptions'!$F113)</f>
        <v>299.64604608441192</v>
      </c>
    </row>
    <row r="55" spans="2:28" x14ac:dyDescent="0.25">
      <c r="B55" s="30"/>
      <c r="C55" s="13"/>
      <c r="D55" s="21" t="str">
        <f>'2-Data Input &amp; Assumptions'!A22</f>
        <v xml:space="preserve"> DEBT SERVICE</v>
      </c>
      <c r="E55" s="22">
        <f>'2-Data Input &amp; Assumptions'!C91/1000</f>
        <v>10.666666666666664</v>
      </c>
      <c r="F55" s="22">
        <f>'2-Data Input &amp; Assumptions'!D91/1000</f>
        <v>10.666666666666664</v>
      </c>
      <c r="G55" s="22">
        <f>'2-Data Input &amp; Assumptions'!E91/1000</f>
        <v>10.666666666666664</v>
      </c>
      <c r="H55" s="22">
        <f>'2-Data Input &amp; Assumptions'!F91/1000</f>
        <v>10.666666666666664</v>
      </c>
      <c r="I55" s="22">
        <f>'2-Data Input &amp; Assumptions'!G91/1000</f>
        <v>10.666666666666664</v>
      </c>
      <c r="J55" s="22">
        <f>'2-Data Input &amp; Assumptions'!H91/1000</f>
        <v>10.666666666666664</v>
      </c>
      <c r="K55" s="22">
        <f>'2-Data Input &amp; Assumptions'!I91/1000</f>
        <v>10.666666666666664</v>
      </c>
      <c r="L55" s="22">
        <f>'2-Data Input &amp; Assumptions'!J91/1000</f>
        <v>10.666666666666664</v>
      </c>
      <c r="M55" s="22">
        <f>'2-Data Input &amp; Assumptions'!K91/1000</f>
        <v>10.666666666666664</v>
      </c>
      <c r="N55" s="22">
        <f>'2-Data Input &amp; Assumptions'!L91/1000</f>
        <v>10.666666666666664</v>
      </c>
      <c r="O55" s="22">
        <f>'2-Data Input &amp; Assumptions'!M91/1000</f>
        <v>10.666666666666664</v>
      </c>
      <c r="P55" s="22">
        <f>'2-Data Input &amp; Assumptions'!N91/1000</f>
        <v>10.666666666666664</v>
      </c>
      <c r="Q55" s="22">
        <f>E55*(1+'2-Data Input &amp; Assumptions'!$F114)</f>
        <v>10.869254490147975</v>
      </c>
      <c r="R55" s="22">
        <f>F55*(1+'2-Data Input &amp; Assumptions'!$F114)</f>
        <v>10.869254490147975</v>
      </c>
      <c r="S55" s="22">
        <f>G55*(1+'2-Data Input &amp; Assumptions'!$F114)</f>
        <v>10.869254490147975</v>
      </c>
      <c r="T55" s="22">
        <f>H55*(1+'2-Data Input &amp; Assumptions'!$F114)</f>
        <v>10.869254490147975</v>
      </c>
      <c r="U55" s="22">
        <f>I55*(1+'2-Data Input &amp; Assumptions'!$F114)</f>
        <v>10.869254490147975</v>
      </c>
      <c r="V55" s="22">
        <f>J55*(1+'2-Data Input &amp; Assumptions'!$F114)</f>
        <v>10.869254490147975</v>
      </c>
      <c r="W55" s="22">
        <f>K55*(1+'2-Data Input &amp; Assumptions'!$F114)</f>
        <v>10.869254490147975</v>
      </c>
      <c r="X55" s="22">
        <f>L55*(1+'2-Data Input &amp; Assumptions'!$F114)</f>
        <v>10.869254490147975</v>
      </c>
      <c r="Y55" s="22">
        <f>M55*(1+'2-Data Input &amp; Assumptions'!$F114)</f>
        <v>10.869254490147975</v>
      </c>
      <c r="Z55" s="22">
        <f>N55*(1+'2-Data Input &amp; Assumptions'!$F114)</f>
        <v>10.869254490147975</v>
      </c>
      <c r="AA55" s="22">
        <f>O55*(1+'2-Data Input &amp; Assumptions'!$F114)</f>
        <v>10.869254490147975</v>
      </c>
      <c r="AB55" s="23">
        <f>P55*(1+'2-Data Input &amp; Assumptions'!$F114)</f>
        <v>10.869254490147975</v>
      </c>
    </row>
    <row r="56" spans="2:28" x14ac:dyDescent="0.25">
      <c r="B56" s="30"/>
      <c r="C56" s="13"/>
      <c r="D56" s="21" t="str">
        <f>'2-Data Input &amp; Assumptions'!A23</f>
        <v xml:space="preserve"> OTHER EXPENSE</v>
      </c>
      <c r="E56" s="22">
        <f>'2-Data Input &amp; Assumptions'!C92/1000</f>
        <v>2.7500000000000004</v>
      </c>
      <c r="F56" s="22">
        <f>'2-Data Input &amp; Assumptions'!D92/1000</f>
        <v>2.7500000000000004</v>
      </c>
      <c r="G56" s="22">
        <f>'2-Data Input &amp; Assumptions'!E92/1000</f>
        <v>2.7500000000000004</v>
      </c>
      <c r="H56" s="22">
        <f>'2-Data Input &amp; Assumptions'!F92/1000</f>
        <v>2.7500000000000004</v>
      </c>
      <c r="I56" s="22">
        <f>'2-Data Input &amp; Assumptions'!G92/1000</f>
        <v>2.7500000000000004</v>
      </c>
      <c r="J56" s="22">
        <f>'2-Data Input &amp; Assumptions'!H92/1000</f>
        <v>2.7500000000000004</v>
      </c>
      <c r="K56" s="22">
        <f>'2-Data Input &amp; Assumptions'!I92/1000</f>
        <v>2.7500000000000004</v>
      </c>
      <c r="L56" s="22">
        <f>'2-Data Input &amp; Assumptions'!J92/1000</f>
        <v>2.7500000000000004</v>
      </c>
      <c r="M56" s="22">
        <f>'2-Data Input &amp; Assumptions'!K92/1000</f>
        <v>2.7500000000000004</v>
      </c>
      <c r="N56" s="22">
        <f>'2-Data Input &amp; Assumptions'!L92/1000</f>
        <v>2.7500000000000004</v>
      </c>
      <c r="O56" s="22">
        <f>'2-Data Input &amp; Assumptions'!M92/1000</f>
        <v>2.7500000000000004</v>
      </c>
      <c r="P56" s="22">
        <f>'2-Data Input &amp; Assumptions'!N92/1000</f>
        <v>2.7500000000000004</v>
      </c>
      <c r="Q56" s="22">
        <f>E56*(1+'2-Data Input &amp; Assumptions'!$F115)</f>
        <v>2.7963427671556857</v>
      </c>
      <c r="R56" s="22">
        <f>F56*(1+'2-Data Input &amp; Assumptions'!$F115)</f>
        <v>2.7963427671556857</v>
      </c>
      <c r="S56" s="22">
        <f>G56*(1+'2-Data Input &amp; Assumptions'!$F115)</f>
        <v>2.7963427671556857</v>
      </c>
      <c r="T56" s="22">
        <f>H56*(1+'2-Data Input &amp; Assumptions'!$F115)</f>
        <v>2.7963427671556857</v>
      </c>
      <c r="U56" s="22">
        <f>I56*(1+'2-Data Input &amp; Assumptions'!$F115)</f>
        <v>2.7963427671556857</v>
      </c>
      <c r="V56" s="22">
        <f>J56*(1+'2-Data Input &amp; Assumptions'!$F115)</f>
        <v>2.7963427671556857</v>
      </c>
      <c r="W56" s="22">
        <f>K56*(1+'2-Data Input &amp; Assumptions'!$F115)</f>
        <v>2.7963427671556857</v>
      </c>
      <c r="X56" s="22">
        <f>L56*(1+'2-Data Input &amp; Assumptions'!$F115)</f>
        <v>2.7963427671556857</v>
      </c>
      <c r="Y56" s="22">
        <f>M56*(1+'2-Data Input &amp; Assumptions'!$F115)</f>
        <v>2.7963427671556857</v>
      </c>
      <c r="Z56" s="22">
        <f>N56*(1+'2-Data Input &amp; Assumptions'!$F115)</f>
        <v>2.7963427671556857</v>
      </c>
      <c r="AA56" s="22">
        <f>O56*(1+'2-Data Input &amp; Assumptions'!$F115)</f>
        <v>2.7963427671556857</v>
      </c>
      <c r="AB56" s="23">
        <f>P56*(1+'2-Data Input &amp; Assumptions'!$F115)</f>
        <v>2.7963427671556857</v>
      </c>
    </row>
    <row r="57" spans="2:28" x14ac:dyDescent="0.25">
      <c r="B57" s="30"/>
      <c r="C57" s="13"/>
      <c r="D57" s="21" t="str">
        <f>'2-Data Input &amp; Assumptions'!A24</f>
        <v xml:space="preserve"> OTHER USE</v>
      </c>
      <c r="E57" s="22">
        <f>'2-Data Input &amp; Assumptions'!C93/1000</f>
        <v>0</v>
      </c>
      <c r="F57" s="22">
        <f>'2-Data Input &amp; Assumptions'!D93/1000</f>
        <v>0</v>
      </c>
      <c r="G57" s="22">
        <f>'2-Data Input &amp; Assumptions'!E93/1000</f>
        <v>0</v>
      </c>
      <c r="H57" s="22">
        <f>'2-Data Input &amp; Assumptions'!F93/1000</f>
        <v>0</v>
      </c>
      <c r="I57" s="22">
        <f>'2-Data Input &amp; Assumptions'!G93/1000</f>
        <v>0</v>
      </c>
      <c r="J57" s="22">
        <f>'2-Data Input &amp; Assumptions'!H93/1000</f>
        <v>0</v>
      </c>
      <c r="K57" s="22">
        <f>'2-Data Input &amp; Assumptions'!I93/1000</f>
        <v>0</v>
      </c>
      <c r="L57" s="22">
        <f>'2-Data Input &amp; Assumptions'!J93/1000</f>
        <v>0</v>
      </c>
      <c r="M57" s="22">
        <f>'2-Data Input &amp; Assumptions'!K93/1000</f>
        <v>0</v>
      </c>
      <c r="N57" s="22">
        <f>'2-Data Input &amp; Assumptions'!L93/1000</f>
        <v>0</v>
      </c>
      <c r="O57" s="22">
        <f>'2-Data Input &amp; Assumptions'!M93/1000</f>
        <v>0</v>
      </c>
      <c r="P57" s="22">
        <f>'2-Data Input &amp; Assumptions'!N93/1000</f>
        <v>0</v>
      </c>
      <c r="Q57" s="22">
        <f>E57*(1+'2-Data Input &amp; Assumptions'!$F116)</f>
        <v>0</v>
      </c>
      <c r="R57" s="22">
        <f>F57*(1+'2-Data Input &amp; Assumptions'!$F116)</f>
        <v>0</v>
      </c>
      <c r="S57" s="22">
        <f>G57*(1+'2-Data Input &amp; Assumptions'!$F116)</f>
        <v>0</v>
      </c>
      <c r="T57" s="22">
        <f>H57*(1+'2-Data Input &amp; Assumptions'!$F116)</f>
        <v>0</v>
      </c>
      <c r="U57" s="22">
        <f>I57*(1+'2-Data Input &amp; Assumptions'!$F116)</f>
        <v>0</v>
      </c>
      <c r="V57" s="22">
        <f>J57*(1+'2-Data Input &amp; Assumptions'!$F116)</f>
        <v>0</v>
      </c>
      <c r="W57" s="22">
        <f>K57*(1+'2-Data Input &amp; Assumptions'!$F116)</f>
        <v>0</v>
      </c>
      <c r="X57" s="22">
        <f>L57*(1+'2-Data Input &amp; Assumptions'!$F116)</f>
        <v>0</v>
      </c>
      <c r="Y57" s="22">
        <f>M57*(1+'2-Data Input &amp; Assumptions'!$F116)</f>
        <v>0</v>
      </c>
      <c r="Z57" s="22">
        <f>N57*(1+'2-Data Input &amp; Assumptions'!$F116)</f>
        <v>0</v>
      </c>
      <c r="AA57" s="22">
        <f>O57*(1+'2-Data Input &amp; Assumptions'!$F116)</f>
        <v>0</v>
      </c>
      <c r="AB57" s="23">
        <f>P57*(1+'2-Data Input &amp; Assumptions'!$F116)</f>
        <v>0</v>
      </c>
    </row>
    <row r="58" spans="2:28" x14ac:dyDescent="0.25">
      <c r="B58" s="30"/>
      <c r="C58" s="13"/>
      <c r="D58" s="21" t="str">
        <f>'2-Data Input &amp; Assumptions'!A25</f>
        <v xml:space="preserve"> OTHER USE</v>
      </c>
      <c r="E58" s="22">
        <f>'2-Data Input &amp; Assumptions'!C94/1000</f>
        <v>0</v>
      </c>
      <c r="F58" s="22">
        <f>'2-Data Input &amp; Assumptions'!D94/1000</f>
        <v>0</v>
      </c>
      <c r="G58" s="22">
        <f>'2-Data Input &amp; Assumptions'!E94/1000</f>
        <v>0</v>
      </c>
      <c r="H58" s="22">
        <f>'2-Data Input &amp; Assumptions'!F94/1000</f>
        <v>0</v>
      </c>
      <c r="I58" s="22">
        <f>'2-Data Input &amp; Assumptions'!G94/1000</f>
        <v>0</v>
      </c>
      <c r="J58" s="22">
        <f>'2-Data Input &amp; Assumptions'!H94/1000</f>
        <v>0</v>
      </c>
      <c r="K58" s="22">
        <f>'2-Data Input &amp; Assumptions'!I94/1000</f>
        <v>0</v>
      </c>
      <c r="L58" s="22">
        <f>'2-Data Input &amp; Assumptions'!J94/1000</f>
        <v>0</v>
      </c>
      <c r="M58" s="22">
        <f>'2-Data Input &amp; Assumptions'!K94/1000</f>
        <v>0</v>
      </c>
      <c r="N58" s="22">
        <f>'2-Data Input &amp; Assumptions'!L94/1000</f>
        <v>0</v>
      </c>
      <c r="O58" s="22">
        <f>'2-Data Input &amp; Assumptions'!M94/1000</f>
        <v>0</v>
      </c>
      <c r="P58" s="22">
        <f>'2-Data Input &amp; Assumptions'!N94/1000</f>
        <v>0</v>
      </c>
      <c r="Q58" s="22">
        <f>E58*(1+'2-Data Input &amp; Assumptions'!$F117)</f>
        <v>0</v>
      </c>
      <c r="R58" s="22">
        <f>F58*(1+'2-Data Input &amp; Assumptions'!$F117)</f>
        <v>0</v>
      </c>
      <c r="S58" s="22">
        <f>G58*(1+'2-Data Input &amp; Assumptions'!$F117)</f>
        <v>0</v>
      </c>
      <c r="T58" s="22">
        <f>H58*(1+'2-Data Input &amp; Assumptions'!$F117)</f>
        <v>0</v>
      </c>
      <c r="U58" s="22">
        <f>I58*(1+'2-Data Input &amp; Assumptions'!$F117)</f>
        <v>0</v>
      </c>
      <c r="V58" s="22">
        <f>J58*(1+'2-Data Input &amp; Assumptions'!$F117)</f>
        <v>0</v>
      </c>
      <c r="W58" s="22">
        <f>K58*(1+'2-Data Input &amp; Assumptions'!$F117)</f>
        <v>0</v>
      </c>
      <c r="X58" s="22">
        <f>L58*(1+'2-Data Input &amp; Assumptions'!$F117)</f>
        <v>0</v>
      </c>
      <c r="Y58" s="22">
        <f>M58*(1+'2-Data Input &amp; Assumptions'!$F117)</f>
        <v>0</v>
      </c>
      <c r="Z58" s="22">
        <f>N58*(1+'2-Data Input &amp; Assumptions'!$F117)</f>
        <v>0</v>
      </c>
      <c r="AA58" s="22">
        <f>O58*(1+'2-Data Input &amp; Assumptions'!$F117)</f>
        <v>0</v>
      </c>
      <c r="AB58" s="23">
        <f>P58*(1+'2-Data Input &amp; Assumptions'!$F117)</f>
        <v>0</v>
      </c>
    </row>
    <row r="59" spans="2:28" ht="15.75" thickBot="1" x14ac:dyDescent="0.3">
      <c r="B59" s="24"/>
      <c r="C59" s="25"/>
      <c r="D59" s="26" t="s">
        <v>3</v>
      </c>
      <c r="E59" s="27">
        <f>SUM(E52:E58)</f>
        <v>1476.5384615384614</v>
      </c>
      <c r="F59" s="27">
        <f t="shared" ref="F59:Q59" si="3">SUM(F52:F58)</f>
        <v>1476.5384615384614</v>
      </c>
      <c r="G59" s="27">
        <f t="shared" si="3"/>
        <v>1476.5384615384614</v>
      </c>
      <c r="H59" s="27">
        <f t="shared" si="3"/>
        <v>1957.3076923076924</v>
      </c>
      <c r="I59" s="27">
        <f t="shared" si="3"/>
        <v>1476.5384615384614</v>
      </c>
      <c r="J59" s="27">
        <f t="shared" si="3"/>
        <v>1476.5384615384614</v>
      </c>
      <c r="K59" s="27">
        <f t="shared" si="3"/>
        <v>1476.5384615384614</v>
      </c>
      <c r="L59" s="27">
        <f t="shared" si="3"/>
        <v>1476.5384615384614</v>
      </c>
      <c r="M59" s="27">
        <f t="shared" si="3"/>
        <v>1476.5384615384614</v>
      </c>
      <c r="N59" s="27">
        <f t="shared" si="3"/>
        <v>1476.5384615384614</v>
      </c>
      <c r="O59" s="27">
        <f t="shared" si="3"/>
        <v>1957.3076923076924</v>
      </c>
      <c r="P59" s="27">
        <f t="shared" si="3"/>
        <v>1476.5384615384614</v>
      </c>
      <c r="Q59" s="27">
        <f t="shared" si="3"/>
        <v>1506.2477946154656</v>
      </c>
      <c r="R59" s="27">
        <f t="shared" ref="R59:AB59" si="4">SUM(R52:R58)</f>
        <v>1506.2477946154656</v>
      </c>
      <c r="S59" s="27">
        <f t="shared" si="4"/>
        <v>1506.2477946154656</v>
      </c>
      <c r="T59" s="27">
        <f t="shared" si="4"/>
        <v>1996.7112771734926</v>
      </c>
      <c r="U59" s="27">
        <f t="shared" si="4"/>
        <v>1506.2477946154656</v>
      </c>
      <c r="V59" s="27">
        <f t="shared" si="4"/>
        <v>1506.2477946154656</v>
      </c>
      <c r="W59" s="27">
        <f t="shared" si="4"/>
        <v>1506.2477946154656</v>
      </c>
      <c r="X59" s="27">
        <f t="shared" si="4"/>
        <v>1506.2477946154656</v>
      </c>
      <c r="Y59" s="27">
        <f t="shared" si="4"/>
        <v>1506.2477946154656</v>
      </c>
      <c r="Z59" s="27">
        <f t="shared" si="4"/>
        <v>1506.2477946154656</v>
      </c>
      <c r="AA59" s="27">
        <f t="shared" si="4"/>
        <v>1996.7112771734926</v>
      </c>
      <c r="AB59" s="28">
        <f t="shared" si="4"/>
        <v>1506.2477946154656</v>
      </c>
    </row>
    <row r="60" spans="2:28" s="35" customFormat="1" x14ac:dyDescent="0.25">
      <c r="B60" s="85"/>
      <c r="C60" s="86"/>
      <c r="D60" s="87" t="s">
        <v>2</v>
      </c>
      <c r="E60" s="86">
        <f t="shared" ref="E60:AB60" si="5">IF(E62&gt;0.1,E62,0)</f>
        <v>661.44487179487214</v>
      </c>
      <c r="F60" s="86">
        <f t="shared" si="5"/>
        <v>322.88974358974406</v>
      </c>
      <c r="G60" s="86">
        <f t="shared" si="5"/>
        <v>0</v>
      </c>
      <c r="H60" s="86">
        <f t="shared" si="5"/>
        <v>0</v>
      </c>
      <c r="I60" s="86">
        <f t="shared" si="5"/>
        <v>0</v>
      </c>
      <c r="J60" s="86">
        <f t="shared" si="5"/>
        <v>2557.7000000000003</v>
      </c>
      <c r="K60" s="86">
        <f t="shared" si="5"/>
        <v>2326.2448717948723</v>
      </c>
      <c r="L60" s="86">
        <f t="shared" si="5"/>
        <v>2094.7897435897444</v>
      </c>
      <c r="M60" s="86">
        <f t="shared" si="5"/>
        <v>1863.3346153846164</v>
      </c>
      <c r="N60" s="86">
        <f t="shared" si="5"/>
        <v>2702.8794871794885</v>
      </c>
      <c r="O60" s="86">
        <f t="shared" si="5"/>
        <v>1990.6551282051296</v>
      </c>
      <c r="P60" s="86">
        <f t="shared" si="5"/>
        <v>1545.0000000000014</v>
      </c>
      <c r="Q60" s="86">
        <f t="shared" si="5"/>
        <v>1205.0939541788564</v>
      </c>
      <c r="R60" s="86">
        <f t="shared" si="5"/>
        <v>865.18790835771165</v>
      </c>
      <c r="S60" s="86">
        <f t="shared" si="5"/>
        <v>525.28186253656668</v>
      </c>
      <c r="T60" s="86">
        <f t="shared" si="5"/>
        <v>0</v>
      </c>
      <c r="U60" s="86">
        <f t="shared" si="5"/>
        <v>0</v>
      </c>
      <c r="V60" s="86">
        <f t="shared" si="5"/>
        <v>3247.692242515106</v>
      </c>
      <c r="W60" s="86">
        <f t="shared" si="5"/>
        <v>3019.1701966939609</v>
      </c>
      <c r="X60" s="86">
        <f t="shared" si="5"/>
        <v>2790.6481508728157</v>
      </c>
      <c r="Y60" s="86">
        <f t="shared" si="5"/>
        <v>2562.1261050516705</v>
      </c>
      <c r="Z60" s="86">
        <f t="shared" si="5"/>
        <v>3447.4440592305255</v>
      </c>
      <c r="AA60" s="86">
        <f t="shared" si="5"/>
        <v>2728.4585308513533</v>
      </c>
      <c r="AB60" s="88">
        <f t="shared" si="5"/>
        <v>2277.1684850302081</v>
      </c>
    </row>
    <row r="61" spans="2:28" s="35" customFormat="1" x14ac:dyDescent="0.25">
      <c r="B61" s="31"/>
      <c r="C61" s="32"/>
      <c r="D61" s="33" t="s">
        <v>1</v>
      </c>
      <c r="E61" s="32">
        <f t="shared" ref="E61:AB61" si="6">IF(E62&lt;0.001,E62,0)</f>
        <v>0</v>
      </c>
      <c r="F61" s="32">
        <f t="shared" si="6"/>
        <v>0</v>
      </c>
      <c r="G61" s="32">
        <f t="shared" si="6"/>
        <v>-15.665384615384028</v>
      </c>
      <c r="H61" s="32">
        <f t="shared" si="6"/>
        <v>-834.98974358974306</v>
      </c>
      <c r="I61" s="32">
        <f t="shared" si="6"/>
        <v>-959.34487179487132</v>
      </c>
      <c r="J61" s="32">
        <f t="shared" si="6"/>
        <v>0</v>
      </c>
      <c r="K61" s="32">
        <f t="shared" si="6"/>
        <v>0</v>
      </c>
      <c r="L61" s="32">
        <f t="shared" si="6"/>
        <v>0</v>
      </c>
      <c r="M61" s="32">
        <f t="shared" si="6"/>
        <v>0</v>
      </c>
      <c r="N61" s="32">
        <f t="shared" si="6"/>
        <v>0</v>
      </c>
      <c r="O61" s="32">
        <f t="shared" si="6"/>
        <v>0</v>
      </c>
      <c r="P61" s="32">
        <f t="shared" si="6"/>
        <v>0</v>
      </c>
      <c r="Q61" s="32">
        <f t="shared" si="6"/>
        <v>0</v>
      </c>
      <c r="R61" s="32">
        <f t="shared" si="6"/>
        <v>0</v>
      </c>
      <c r="S61" s="32">
        <f t="shared" si="6"/>
        <v>0</v>
      </c>
      <c r="T61" s="32">
        <f t="shared" si="6"/>
        <v>-305.08766584260525</v>
      </c>
      <c r="U61" s="32">
        <f t="shared" si="6"/>
        <v>-422.22571166375019</v>
      </c>
      <c r="V61" s="32">
        <f t="shared" si="6"/>
        <v>0</v>
      </c>
      <c r="W61" s="32">
        <f t="shared" si="6"/>
        <v>0</v>
      </c>
      <c r="X61" s="32">
        <f t="shared" si="6"/>
        <v>0</v>
      </c>
      <c r="Y61" s="32">
        <f t="shared" si="6"/>
        <v>0</v>
      </c>
      <c r="Z61" s="32">
        <f t="shared" si="6"/>
        <v>0</v>
      </c>
      <c r="AA61" s="32">
        <f t="shared" si="6"/>
        <v>0</v>
      </c>
      <c r="AB61" s="34">
        <f t="shared" si="6"/>
        <v>0</v>
      </c>
    </row>
    <row r="62" spans="2:28" s="32" customFormat="1" ht="15.75" thickBot="1" x14ac:dyDescent="0.3">
      <c r="B62" s="36"/>
      <c r="C62" s="37"/>
      <c r="D62" s="89" t="s">
        <v>0</v>
      </c>
      <c r="E62" s="37">
        <f>C41+E51-E59</f>
        <v>661.44487179487214</v>
      </c>
      <c r="F62" s="37">
        <f t="shared" ref="F62:AB62" si="7">E62+F51-F59</f>
        <v>322.88974358974406</v>
      </c>
      <c r="G62" s="37">
        <f t="shared" si="7"/>
        <v>-15.665384615384028</v>
      </c>
      <c r="H62" s="37">
        <f t="shared" si="7"/>
        <v>-834.98974358974306</v>
      </c>
      <c r="I62" s="37">
        <f t="shared" si="7"/>
        <v>-959.34487179487132</v>
      </c>
      <c r="J62" s="37">
        <f t="shared" si="7"/>
        <v>2557.7000000000003</v>
      </c>
      <c r="K62" s="37">
        <f t="shared" si="7"/>
        <v>2326.2448717948723</v>
      </c>
      <c r="L62" s="37">
        <f t="shared" si="7"/>
        <v>2094.7897435897444</v>
      </c>
      <c r="M62" s="37">
        <f t="shared" si="7"/>
        <v>1863.3346153846164</v>
      </c>
      <c r="N62" s="37">
        <f t="shared" si="7"/>
        <v>2702.8794871794885</v>
      </c>
      <c r="O62" s="37">
        <f t="shared" si="7"/>
        <v>1990.6551282051296</v>
      </c>
      <c r="P62" s="37">
        <f t="shared" si="7"/>
        <v>1545.0000000000014</v>
      </c>
      <c r="Q62" s="37">
        <f t="shared" si="7"/>
        <v>1205.0939541788564</v>
      </c>
      <c r="R62" s="37">
        <f t="shared" si="7"/>
        <v>865.18790835771165</v>
      </c>
      <c r="S62" s="37">
        <f t="shared" si="7"/>
        <v>525.28186253656668</v>
      </c>
      <c r="T62" s="37">
        <f t="shared" si="7"/>
        <v>-305.08766584260525</v>
      </c>
      <c r="U62" s="37">
        <f t="shared" si="7"/>
        <v>-422.22571166375019</v>
      </c>
      <c r="V62" s="37">
        <f t="shared" si="7"/>
        <v>3247.692242515106</v>
      </c>
      <c r="W62" s="37">
        <f t="shared" si="7"/>
        <v>3019.1701966939609</v>
      </c>
      <c r="X62" s="37">
        <f t="shared" si="7"/>
        <v>2790.6481508728157</v>
      </c>
      <c r="Y62" s="37">
        <f t="shared" si="7"/>
        <v>2562.1261050516705</v>
      </c>
      <c r="Z62" s="37">
        <f t="shared" si="7"/>
        <v>3447.4440592305255</v>
      </c>
      <c r="AA62" s="37">
        <f t="shared" si="7"/>
        <v>2728.4585308513533</v>
      </c>
      <c r="AB62" s="38">
        <f t="shared" si="7"/>
        <v>2277.1684850302081</v>
      </c>
    </row>
    <row r="63" spans="2:28" x14ac:dyDescent="0.25">
      <c r="B63" s="10"/>
    </row>
    <row r="64" spans="2:28" x14ac:dyDescent="0.25">
      <c r="B64" s="39" t="str">
        <f>CONCATENATE("MONTHLY CASH FLOW, ",A2)</f>
        <v>MONTHLY CASH FLOW, FOR FISCAL YEAR ENDING-JUN-2019</v>
      </c>
    </row>
    <row r="65" spans="2:28" x14ac:dyDescent="0.25">
      <c r="B65" s="11" t="s">
        <v>173</v>
      </c>
    </row>
    <row r="67" spans="2:28" x14ac:dyDescent="0.25">
      <c r="E67" s="40"/>
      <c r="F67" s="40"/>
      <c r="G67" s="40"/>
      <c r="H67" s="40"/>
      <c r="I67" s="40"/>
      <c r="J67" s="40"/>
      <c r="K67" s="40"/>
      <c r="L67" s="40"/>
      <c r="M67" s="40"/>
      <c r="N67" s="40"/>
      <c r="O67" s="40"/>
      <c r="P67" s="40"/>
      <c r="Q67" s="40"/>
      <c r="R67" s="40"/>
      <c r="S67" s="40"/>
      <c r="T67" s="40"/>
      <c r="U67" s="40"/>
      <c r="V67" s="40"/>
      <c r="W67" s="40"/>
      <c r="X67" s="40"/>
      <c r="Y67" s="40"/>
      <c r="Z67" s="40"/>
      <c r="AA67" s="40"/>
      <c r="AB67" s="40"/>
    </row>
    <row r="68" spans="2:28" x14ac:dyDescent="0.25">
      <c r="E68" s="40"/>
      <c r="F68" s="40"/>
      <c r="G68" s="40"/>
      <c r="H68" s="40"/>
      <c r="I68" s="40"/>
      <c r="J68" s="40"/>
      <c r="K68" s="40"/>
      <c r="L68" s="40"/>
      <c r="M68" s="40"/>
      <c r="N68" s="40"/>
      <c r="O68" s="40"/>
      <c r="P68" s="40"/>
      <c r="Q68" s="40"/>
      <c r="R68" s="40"/>
      <c r="S68" s="40"/>
      <c r="T68" s="40"/>
      <c r="U68" s="40"/>
      <c r="V68" s="40"/>
      <c r="W68" s="40"/>
      <c r="X68" s="40"/>
      <c r="Y68" s="40"/>
      <c r="Z68" s="40"/>
      <c r="AA68" s="40"/>
      <c r="AB68" s="40"/>
    </row>
  </sheetData>
  <sheetProtection algorithmName="SHA-512" hashValue="RR78VQYiKbvlrMG6WvBL+S4RLhjU7vGfDy6O0t+8Eav+38K18y5uRp4BxhvlbD8U7DGm9KoLhKNMWArmIwGBhg==" saltValue="qqaqTLINj1h5XrQO8vgD1A==" spinCount="100000" sheet="1" objects="1" scenarios="1"/>
  <pageMargins left="0.7" right="0.7" top="0.75" bottom="0.75" header="0.3" footer="0.3"/>
  <pageSetup scale="48" orientation="landscape" horizontalDpi="4294967295" verticalDpi="4294967295" r:id="rId1"/>
  <headerFooter>
    <oddHeader>&amp;F</oddHeader>
    <oddFooter>&amp;C&amp;A&amp;R&amp;P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6"/>
  <sheetViews>
    <sheetView zoomScale="90" zoomScaleNormal="90" workbookViewId="0">
      <pane ySplit="1" topLeftCell="A2" activePane="bottomLeft" state="frozen"/>
      <selection pane="bottomLeft" activeCell="E37" sqref="E37"/>
    </sheetView>
  </sheetViews>
  <sheetFormatPr defaultRowHeight="15" x14ac:dyDescent="0.25"/>
  <cols>
    <col min="1" max="1" width="40" customWidth="1"/>
    <col min="2" max="5" width="50.7109375" customWidth="1"/>
  </cols>
  <sheetData>
    <row r="1" spans="1:7" ht="19.5" thickBot="1" x14ac:dyDescent="0.35">
      <c r="A1" s="69" t="s">
        <v>32</v>
      </c>
      <c r="B1" s="70" t="s">
        <v>33</v>
      </c>
      <c r="C1" s="70" t="s">
        <v>34</v>
      </c>
      <c r="D1" s="70" t="s">
        <v>35</v>
      </c>
      <c r="E1" s="71" t="s">
        <v>36</v>
      </c>
    </row>
    <row r="2" spans="1:7" s="62" customFormat="1" ht="30" x14ac:dyDescent="0.25">
      <c r="A2" s="59" t="s">
        <v>37</v>
      </c>
      <c r="B2" s="60" t="s">
        <v>38</v>
      </c>
      <c r="C2" s="60" t="s">
        <v>39</v>
      </c>
      <c r="D2" s="60" t="s">
        <v>40</v>
      </c>
      <c r="E2" s="61" t="s">
        <v>41</v>
      </c>
    </row>
    <row r="3" spans="1:7" s="62" customFormat="1" ht="15.75" x14ac:dyDescent="0.25">
      <c r="A3" s="63"/>
      <c r="B3" s="64"/>
      <c r="C3" s="64"/>
      <c r="D3" s="64"/>
      <c r="E3" s="65"/>
    </row>
    <row r="4" spans="1:7" s="62" customFormat="1" ht="45" x14ac:dyDescent="0.25">
      <c r="A4" s="59" t="s">
        <v>42</v>
      </c>
      <c r="B4" s="60" t="s">
        <v>43</v>
      </c>
      <c r="C4" s="60" t="s">
        <v>44</v>
      </c>
      <c r="D4" s="60" t="s">
        <v>45</v>
      </c>
      <c r="E4" s="61" t="s">
        <v>46</v>
      </c>
      <c r="G4" s="66"/>
    </row>
    <row r="5" spans="1:7" s="62" customFormat="1" ht="15.75" x14ac:dyDescent="0.25">
      <c r="A5" s="63"/>
      <c r="B5" s="64"/>
      <c r="C5" s="64"/>
      <c r="D5" s="64"/>
      <c r="E5" s="65"/>
    </row>
    <row r="6" spans="1:7" s="62" customFormat="1" ht="45" x14ac:dyDescent="0.25">
      <c r="A6" s="59" t="s">
        <v>47</v>
      </c>
      <c r="B6" s="60" t="s">
        <v>48</v>
      </c>
      <c r="C6" s="60" t="s">
        <v>49</v>
      </c>
      <c r="D6" s="60" t="s">
        <v>50</v>
      </c>
      <c r="E6" s="61" t="s">
        <v>41</v>
      </c>
    </row>
    <row r="7" spans="1:7" s="62" customFormat="1" ht="15.75" x14ac:dyDescent="0.25">
      <c r="A7" s="63"/>
      <c r="B7" s="64"/>
      <c r="C7" s="64"/>
      <c r="D7" s="64"/>
      <c r="E7" s="65"/>
    </row>
    <row r="8" spans="1:7" s="62" customFormat="1" ht="45" x14ac:dyDescent="0.25">
      <c r="A8" s="59" t="s">
        <v>51</v>
      </c>
      <c r="B8" s="60" t="s">
        <v>52</v>
      </c>
      <c r="C8" s="60" t="s">
        <v>53</v>
      </c>
      <c r="D8" s="60" t="s">
        <v>45</v>
      </c>
      <c r="E8" s="61" t="s">
        <v>46</v>
      </c>
    </row>
    <row r="9" spans="1:7" s="62" customFormat="1" ht="15.75" x14ac:dyDescent="0.25">
      <c r="A9" s="63"/>
      <c r="B9" s="64"/>
      <c r="C9" s="64"/>
      <c r="D9" s="64"/>
      <c r="E9" s="65"/>
    </row>
    <row r="10" spans="1:7" s="62" customFormat="1" ht="30" x14ac:dyDescent="0.25">
      <c r="A10" s="59" t="s">
        <v>54</v>
      </c>
      <c r="B10" s="60" t="s">
        <v>55</v>
      </c>
      <c r="C10" s="60" t="s">
        <v>56</v>
      </c>
      <c r="D10" s="60" t="s">
        <v>57</v>
      </c>
      <c r="E10" s="61" t="s">
        <v>41</v>
      </c>
    </row>
    <row r="11" spans="1:7" s="62" customFormat="1" ht="15.75" x14ac:dyDescent="0.25">
      <c r="A11" s="63"/>
      <c r="B11" s="64"/>
      <c r="C11" s="64"/>
      <c r="D11" s="64"/>
      <c r="E11" s="65"/>
    </row>
    <row r="12" spans="1:7" s="62" customFormat="1" ht="45" x14ac:dyDescent="0.25">
      <c r="A12" s="59" t="s">
        <v>58</v>
      </c>
      <c r="B12" s="60" t="s">
        <v>59</v>
      </c>
      <c r="C12" s="60" t="s">
        <v>60</v>
      </c>
      <c r="D12" s="60" t="s">
        <v>57</v>
      </c>
      <c r="E12" s="61" t="s">
        <v>45</v>
      </c>
    </row>
    <row r="13" spans="1:7" s="62" customFormat="1" ht="15.75" x14ac:dyDescent="0.25">
      <c r="A13" s="63"/>
      <c r="B13" s="64"/>
      <c r="C13" s="64"/>
      <c r="D13" s="64"/>
      <c r="E13" s="65"/>
    </row>
    <row r="14" spans="1:7" s="62" customFormat="1" ht="45" x14ac:dyDescent="0.25">
      <c r="A14" s="59" t="s">
        <v>61</v>
      </c>
      <c r="B14" s="60" t="s">
        <v>62</v>
      </c>
      <c r="C14" s="60" t="s">
        <v>63</v>
      </c>
      <c r="D14" s="60" t="s">
        <v>64</v>
      </c>
      <c r="E14" s="61" t="s">
        <v>45</v>
      </c>
    </row>
    <row r="15" spans="1:7" s="62" customFormat="1" ht="15.75" x14ac:dyDescent="0.25">
      <c r="A15" s="63"/>
      <c r="B15" s="64"/>
      <c r="C15" s="64"/>
      <c r="D15" s="64"/>
      <c r="E15" s="65"/>
    </row>
    <row r="16" spans="1:7" s="62" customFormat="1" ht="45" x14ac:dyDescent="0.25">
      <c r="A16" s="59" t="s">
        <v>65</v>
      </c>
      <c r="B16" s="60" t="s">
        <v>66</v>
      </c>
      <c r="C16" s="60" t="s">
        <v>67</v>
      </c>
      <c r="D16" s="60" t="s">
        <v>68</v>
      </c>
      <c r="E16" s="61" t="s">
        <v>69</v>
      </c>
    </row>
    <row r="17" spans="1:5" s="62" customFormat="1" ht="15.75" x14ac:dyDescent="0.25">
      <c r="A17" s="63"/>
      <c r="B17" s="64"/>
      <c r="C17" s="64"/>
      <c r="D17" s="64"/>
      <c r="E17" s="65"/>
    </row>
    <row r="18" spans="1:5" s="62" customFormat="1" ht="45" x14ac:dyDescent="0.25">
      <c r="A18" s="59" t="s">
        <v>70</v>
      </c>
      <c r="B18" s="60" t="s">
        <v>71</v>
      </c>
      <c r="C18" s="60" t="s">
        <v>72</v>
      </c>
      <c r="D18" s="60" t="s">
        <v>73</v>
      </c>
      <c r="E18" s="61" t="s">
        <v>74</v>
      </c>
    </row>
    <row r="19" spans="1:5" s="62" customFormat="1" ht="15.75" x14ac:dyDescent="0.25">
      <c r="A19" s="63"/>
      <c r="B19" s="64"/>
      <c r="C19" s="64"/>
      <c r="D19" s="64"/>
      <c r="E19" s="65"/>
    </row>
    <row r="20" spans="1:5" s="62" customFormat="1" ht="30" x14ac:dyDescent="0.25">
      <c r="A20" s="59" t="s">
        <v>75</v>
      </c>
      <c r="B20" s="60" t="s">
        <v>76</v>
      </c>
      <c r="C20" s="60" t="s">
        <v>77</v>
      </c>
      <c r="D20" s="60" t="s">
        <v>78</v>
      </c>
      <c r="E20" s="61" t="s">
        <v>79</v>
      </c>
    </row>
    <row r="21" spans="1:5" s="62" customFormat="1" ht="15.75" x14ac:dyDescent="0.25">
      <c r="A21" s="63"/>
      <c r="B21" s="64"/>
      <c r="C21" s="64"/>
      <c r="D21" s="64"/>
      <c r="E21" s="65"/>
    </row>
    <row r="22" spans="1:5" s="62" customFormat="1" ht="45" x14ac:dyDescent="0.25">
      <c r="A22" s="59" t="s">
        <v>80</v>
      </c>
      <c r="B22" s="60" t="s">
        <v>81</v>
      </c>
      <c r="C22" s="60" t="s">
        <v>82</v>
      </c>
      <c r="D22" s="60" t="s">
        <v>78</v>
      </c>
      <c r="E22" s="61" t="s">
        <v>83</v>
      </c>
    </row>
    <row r="23" spans="1:5" s="62" customFormat="1" ht="15.75" x14ac:dyDescent="0.25">
      <c r="A23" s="63"/>
      <c r="B23" s="64"/>
      <c r="C23" s="64"/>
      <c r="D23" s="64"/>
      <c r="E23" s="65"/>
    </row>
    <row r="24" spans="1:5" s="62" customFormat="1" ht="60" x14ac:dyDescent="0.25">
      <c r="A24" s="59" t="s">
        <v>84</v>
      </c>
      <c r="B24" s="60" t="s">
        <v>85</v>
      </c>
      <c r="C24" s="60" t="s">
        <v>86</v>
      </c>
      <c r="D24" s="60" t="s">
        <v>78</v>
      </c>
      <c r="E24" s="61" t="s">
        <v>87</v>
      </c>
    </row>
    <row r="25" spans="1:5" s="62" customFormat="1" ht="15.75" x14ac:dyDescent="0.25">
      <c r="A25" s="63"/>
      <c r="B25" s="64"/>
      <c r="C25" s="64"/>
      <c r="D25" s="64"/>
      <c r="E25" s="65"/>
    </row>
    <row r="26" spans="1:5" s="62" customFormat="1" ht="31.5" x14ac:dyDescent="0.25">
      <c r="A26" s="59" t="s">
        <v>88</v>
      </c>
      <c r="B26" s="60" t="s">
        <v>89</v>
      </c>
      <c r="C26" s="60" t="s">
        <v>90</v>
      </c>
      <c r="D26" s="60" t="s">
        <v>91</v>
      </c>
      <c r="E26" s="61" t="s">
        <v>69</v>
      </c>
    </row>
    <row r="27" spans="1:5" s="62" customFormat="1" ht="15.75" x14ac:dyDescent="0.25">
      <c r="A27" s="63"/>
      <c r="B27" s="64"/>
      <c r="C27" s="64"/>
      <c r="D27" s="64"/>
      <c r="E27" s="65"/>
    </row>
    <row r="28" spans="1:5" s="62" customFormat="1" ht="30" x14ac:dyDescent="0.25">
      <c r="A28" s="59" t="s">
        <v>92</v>
      </c>
      <c r="B28" s="60" t="s">
        <v>93</v>
      </c>
      <c r="C28" s="60" t="s">
        <v>90</v>
      </c>
      <c r="D28" s="60" t="s">
        <v>91</v>
      </c>
      <c r="E28" s="61" t="s">
        <v>69</v>
      </c>
    </row>
    <row r="29" spans="1:5" s="62" customFormat="1" ht="15.75" x14ac:dyDescent="0.25">
      <c r="A29" s="63"/>
      <c r="B29" s="64"/>
      <c r="C29" s="64"/>
      <c r="D29" s="64"/>
      <c r="E29" s="65"/>
    </row>
    <row r="30" spans="1:5" s="62" customFormat="1" ht="30" x14ac:dyDescent="0.25">
      <c r="A30" s="59" t="s">
        <v>94</v>
      </c>
      <c r="B30" s="60" t="s">
        <v>95</v>
      </c>
      <c r="C30" s="60" t="s">
        <v>90</v>
      </c>
      <c r="D30" s="60" t="s">
        <v>91</v>
      </c>
      <c r="E30" s="61" t="s">
        <v>69</v>
      </c>
    </row>
    <row r="31" spans="1:5" s="62" customFormat="1" ht="15.75" x14ac:dyDescent="0.25">
      <c r="A31" s="63"/>
      <c r="B31" s="64"/>
      <c r="C31" s="64"/>
      <c r="D31" s="64"/>
      <c r="E31" s="65"/>
    </row>
    <row r="32" spans="1:5" s="62" customFormat="1" ht="30" x14ac:dyDescent="0.25">
      <c r="A32" s="59" t="s">
        <v>96</v>
      </c>
      <c r="B32" s="60" t="s">
        <v>97</v>
      </c>
      <c r="C32" s="60" t="s">
        <v>98</v>
      </c>
      <c r="D32" s="60" t="s">
        <v>99</v>
      </c>
      <c r="E32" s="61" t="s">
        <v>100</v>
      </c>
    </row>
    <row r="33" spans="1:5" s="62" customFormat="1" ht="15.75" x14ac:dyDescent="0.25">
      <c r="A33" s="63"/>
      <c r="B33" s="64"/>
      <c r="C33" s="64"/>
      <c r="D33" s="64"/>
      <c r="E33" s="65"/>
    </row>
    <row r="34" spans="1:5" s="62" customFormat="1" ht="45" x14ac:dyDescent="0.25">
      <c r="A34" s="59" t="s">
        <v>101</v>
      </c>
      <c r="B34" s="60" t="s">
        <v>102</v>
      </c>
      <c r="C34" s="60" t="s">
        <v>103</v>
      </c>
      <c r="D34" s="60" t="s">
        <v>104</v>
      </c>
      <c r="E34" s="61" t="s">
        <v>105</v>
      </c>
    </row>
    <row r="35" spans="1:5" ht="15.75" thickBot="1" x14ac:dyDescent="0.3">
      <c r="A35" s="72"/>
      <c r="B35" s="73"/>
      <c r="C35" s="73"/>
      <c r="D35" s="74"/>
      <c r="E35" s="75"/>
    </row>
    <row r="36" spans="1:5" ht="15.75" x14ac:dyDescent="0.25">
      <c r="A36" s="67" t="s">
        <v>106</v>
      </c>
      <c r="E36" s="68" t="s">
        <v>173</v>
      </c>
    </row>
  </sheetData>
  <sheetProtection algorithmName="SHA-512" hashValue="wTXWtXpg4p3VVpGExPtUSlXsr7ynHwLHKMB1sAbyR/Zpnbe5IpJmP7t5s/NNrRDnbKxz2fa96BGQjmoxJiDL9Q==" saltValue="JdP+QR92bIOov14EJLcOGQ==" spinCount="100000" sheet="1" objects="1" scenarios="1"/>
  <pageMargins left="0.7" right="0.7" top="0.75" bottom="0.75" header="0.3" footer="0.3"/>
  <pageSetup scale="50" orientation="landscape" r:id="rId1"/>
  <headerFooter>
    <oddHeader>&amp;F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X37"/>
  <sheetViews>
    <sheetView workbookViewId="0"/>
  </sheetViews>
  <sheetFormatPr defaultRowHeight="15" x14ac:dyDescent="0.25"/>
  <cols>
    <col min="2" max="12" width="8.85546875" style="92"/>
  </cols>
  <sheetData>
    <row r="1" spans="2:50" x14ac:dyDescent="0.25">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2:50" x14ac:dyDescent="0.25">
      <c r="B2" s="92" t="s">
        <v>117</v>
      </c>
      <c r="C2" s="92" t="s">
        <v>160</v>
      </c>
      <c r="D2" s="92" t="s">
        <v>161</v>
      </c>
      <c r="E2" s="92" t="s">
        <v>162</v>
      </c>
      <c r="F2" s="92" t="s">
        <v>163</v>
      </c>
      <c r="G2" s="92" t="s">
        <v>164</v>
      </c>
      <c r="H2" s="92" t="s">
        <v>154</v>
      </c>
      <c r="I2" s="92" t="s">
        <v>155</v>
      </c>
      <c r="J2" s="92" t="s">
        <v>156</v>
      </c>
      <c r="K2" s="92" t="s">
        <v>157</v>
      </c>
      <c r="L2" s="92" t="s">
        <v>158</v>
      </c>
      <c r="M2" s="92" t="s">
        <v>159</v>
      </c>
      <c r="N2" s="92" t="s">
        <v>117</v>
      </c>
    </row>
    <row r="3" spans="2:50" x14ac:dyDescent="0.25">
      <c r="B3" s="92" t="s">
        <v>118</v>
      </c>
      <c r="C3" s="92" t="s">
        <v>161</v>
      </c>
      <c r="D3" s="92" t="s">
        <v>162</v>
      </c>
      <c r="E3" s="92" t="s">
        <v>163</v>
      </c>
      <c r="F3" s="92" t="s">
        <v>164</v>
      </c>
      <c r="G3" s="92" t="s">
        <v>154</v>
      </c>
      <c r="H3" s="92" t="s">
        <v>155</v>
      </c>
      <c r="I3" s="92" t="s">
        <v>156</v>
      </c>
      <c r="J3" s="92" t="s">
        <v>157</v>
      </c>
      <c r="K3" s="92" t="s">
        <v>158</v>
      </c>
      <c r="L3" s="92" t="s">
        <v>159</v>
      </c>
      <c r="M3" s="92" t="s">
        <v>117</v>
      </c>
      <c r="N3" s="92" t="s">
        <v>118</v>
      </c>
    </row>
    <row r="4" spans="2:50" x14ac:dyDescent="0.25">
      <c r="B4" s="92" t="s">
        <v>119</v>
      </c>
      <c r="C4" s="92" t="s">
        <v>162</v>
      </c>
      <c r="D4" s="92" t="s">
        <v>163</v>
      </c>
      <c r="E4" s="92" t="s">
        <v>164</v>
      </c>
      <c r="F4" s="92" t="s">
        <v>154</v>
      </c>
      <c r="G4" s="92" t="s">
        <v>155</v>
      </c>
      <c r="H4" s="92" t="s">
        <v>156</v>
      </c>
      <c r="I4" s="92" t="s">
        <v>157</v>
      </c>
      <c r="J4" s="92" t="s">
        <v>158</v>
      </c>
      <c r="K4" s="92" t="s">
        <v>159</v>
      </c>
      <c r="L4" s="92" t="s">
        <v>117</v>
      </c>
      <c r="M4" s="92" t="s">
        <v>118</v>
      </c>
      <c r="N4" s="92" t="s">
        <v>119</v>
      </c>
    </row>
    <row r="5" spans="2:50" x14ac:dyDescent="0.25">
      <c r="B5" s="92" t="s">
        <v>120</v>
      </c>
      <c r="C5" s="92" t="s">
        <v>163</v>
      </c>
      <c r="D5" s="92" t="s">
        <v>164</v>
      </c>
      <c r="E5" s="92" t="s">
        <v>154</v>
      </c>
      <c r="F5" s="92" t="s">
        <v>155</v>
      </c>
      <c r="G5" s="92" t="s">
        <v>156</v>
      </c>
      <c r="H5" s="92" t="s">
        <v>157</v>
      </c>
      <c r="I5" s="92" t="s">
        <v>158</v>
      </c>
      <c r="J5" s="92" t="s">
        <v>159</v>
      </c>
      <c r="K5" s="92" t="s">
        <v>117</v>
      </c>
      <c r="L5" s="92" t="s">
        <v>118</v>
      </c>
      <c r="M5" s="92" t="s">
        <v>119</v>
      </c>
      <c r="N5" s="92" t="s">
        <v>120</v>
      </c>
    </row>
    <row r="6" spans="2:50" x14ac:dyDescent="0.25">
      <c r="B6" s="92" t="s">
        <v>121</v>
      </c>
      <c r="C6" s="92" t="s">
        <v>164</v>
      </c>
      <c r="D6" s="92" t="s">
        <v>154</v>
      </c>
      <c r="E6" s="92" t="s">
        <v>155</v>
      </c>
      <c r="F6" s="92" t="s">
        <v>156</v>
      </c>
      <c r="G6" s="92" t="s">
        <v>157</v>
      </c>
      <c r="H6" s="92" t="s">
        <v>158</v>
      </c>
      <c r="I6" s="92" t="s">
        <v>159</v>
      </c>
      <c r="J6" s="92" t="s">
        <v>117</v>
      </c>
      <c r="K6" s="92" t="s">
        <v>118</v>
      </c>
      <c r="L6" s="92" t="s">
        <v>119</v>
      </c>
      <c r="M6" s="92" t="s">
        <v>120</v>
      </c>
      <c r="N6" s="92" t="s">
        <v>121</v>
      </c>
    </row>
    <row r="7" spans="2:50" x14ac:dyDescent="0.25">
      <c r="B7" s="92" t="s">
        <v>122</v>
      </c>
      <c r="C7" s="94" t="s">
        <v>154</v>
      </c>
      <c r="D7" s="94" t="s">
        <v>155</v>
      </c>
      <c r="E7" s="94" t="s">
        <v>156</v>
      </c>
      <c r="F7" s="94" t="s">
        <v>157</v>
      </c>
      <c r="G7" s="94" t="s">
        <v>158</v>
      </c>
      <c r="H7" s="94" t="s">
        <v>159</v>
      </c>
      <c r="I7" s="94" t="s">
        <v>117</v>
      </c>
      <c r="J7" s="94" t="s">
        <v>118</v>
      </c>
      <c r="K7" s="94" t="s">
        <v>119</v>
      </c>
      <c r="L7" s="94" t="s">
        <v>120</v>
      </c>
      <c r="M7" s="94" t="s">
        <v>121</v>
      </c>
      <c r="N7" s="94" t="s">
        <v>122</v>
      </c>
    </row>
    <row r="8" spans="2:50" x14ac:dyDescent="0.25">
      <c r="B8" s="92" t="s">
        <v>123</v>
      </c>
      <c r="C8" s="92" t="s">
        <v>155</v>
      </c>
      <c r="D8" s="92" t="s">
        <v>156</v>
      </c>
      <c r="E8" s="92" t="s">
        <v>157</v>
      </c>
      <c r="F8" s="92" t="s">
        <v>158</v>
      </c>
      <c r="G8" s="92" t="s">
        <v>159</v>
      </c>
      <c r="H8" s="92" t="s">
        <v>117</v>
      </c>
      <c r="I8" s="92" t="s">
        <v>118</v>
      </c>
      <c r="J8" s="92" t="s">
        <v>119</v>
      </c>
      <c r="K8" s="92" t="s">
        <v>120</v>
      </c>
      <c r="L8" s="92" t="s">
        <v>121</v>
      </c>
      <c r="M8" s="92" t="s">
        <v>122</v>
      </c>
      <c r="N8" s="92" t="s">
        <v>123</v>
      </c>
    </row>
    <row r="9" spans="2:50" x14ac:dyDescent="0.25">
      <c r="B9" s="92" t="s">
        <v>124</v>
      </c>
      <c r="C9" s="92" t="s">
        <v>156</v>
      </c>
      <c r="D9" s="92" t="s">
        <v>157</v>
      </c>
      <c r="E9" s="92" t="s">
        <v>158</v>
      </c>
      <c r="F9" s="92" t="s">
        <v>159</v>
      </c>
      <c r="G9" s="92" t="s">
        <v>117</v>
      </c>
      <c r="H9" s="92" t="s">
        <v>118</v>
      </c>
      <c r="I9" s="92" t="s">
        <v>119</v>
      </c>
      <c r="J9" s="92" t="s">
        <v>120</v>
      </c>
      <c r="K9" s="92" t="s">
        <v>121</v>
      </c>
      <c r="L9" s="92" t="s">
        <v>122</v>
      </c>
      <c r="M9" s="92" t="s">
        <v>123</v>
      </c>
      <c r="N9" s="92" t="s">
        <v>124</v>
      </c>
    </row>
    <row r="10" spans="2:50" x14ac:dyDescent="0.25">
      <c r="B10" s="92" t="s">
        <v>125</v>
      </c>
      <c r="C10" s="92" t="s">
        <v>157</v>
      </c>
      <c r="D10" s="92" t="s">
        <v>158</v>
      </c>
      <c r="E10" s="92" t="s">
        <v>159</v>
      </c>
      <c r="F10" s="92" t="s">
        <v>117</v>
      </c>
      <c r="G10" s="92" t="s">
        <v>118</v>
      </c>
      <c r="H10" s="92" t="s">
        <v>119</v>
      </c>
      <c r="I10" s="92" t="s">
        <v>120</v>
      </c>
      <c r="J10" s="92" t="s">
        <v>121</v>
      </c>
      <c r="K10" s="92" t="s">
        <v>122</v>
      </c>
      <c r="L10" s="92" t="s">
        <v>123</v>
      </c>
      <c r="M10" s="92" t="s">
        <v>124</v>
      </c>
      <c r="N10" s="92" t="s">
        <v>125</v>
      </c>
    </row>
    <row r="11" spans="2:50" x14ac:dyDescent="0.25">
      <c r="B11" s="92" t="s">
        <v>126</v>
      </c>
      <c r="C11" s="92" t="s">
        <v>158</v>
      </c>
      <c r="D11" s="92" t="s">
        <v>159</v>
      </c>
      <c r="E11" s="92" t="s">
        <v>117</v>
      </c>
      <c r="F11" s="92" t="s">
        <v>118</v>
      </c>
      <c r="G11" s="92" t="s">
        <v>119</v>
      </c>
      <c r="H11" s="92" t="s">
        <v>120</v>
      </c>
      <c r="I11" s="92" t="s">
        <v>121</v>
      </c>
      <c r="J11" s="92" t="s">
        <v>122</v>
      </c>
      <c r="K11" s="92" t="s">
        <v>123</v>
      </c>
      <c r="L11" s="92" t="s">
        <v>124</v>
      </c>
      <c r="M11" s="92" t="s">
        <v>125</v>
      </c>
      <c r="N11" s="92" t="s">
        <v>126</v>
      </c>
    </row>
    <row r="12" spans="2:50" x14ac:dyDescent="0.25">
      <c r="B12" s="92" t="s">
        <v>127</v>
      </c>
      <c r="C12" s="92" t="s">
        <v>159</v>
      </c>
      <c r="D12" s="92" t="s">
        <v>117</v>
      </c>
      <c r="E12" s="92" t="s">
        <v>118</v>
      </c>
      <c r="F12" s="92" t="s">
        <v>119</v>
      </c>
      <c r="G12" s="92" t="s">
        <v>120</v>
      </c>
      <c r="H12" s="92" t="s">
        <v>121</v>
      </c>
      <c r="I12" s="92" t="s">
        <v>122</v>
      </c>
      <c r="J12" s="92" t="s">
        <v>123</v>
      </c>
      <c r="K12" s="92" t="s">
        <v>124</v>
      </c>
      <c r="L12" s="92" t="s">
        <v>125</v>
      </c>
      <c r="M12" s="92" t="s">
        <v>126</v>
      </c>
      <c r="N12" s="92" t="s">
        <v>127</v>
      </c>
    </row>
    <row r="13" spans="2:50" x14ac:dyDescent="0.25">
      <c r="B13" s="92" t="s">
        <v>128</v>
      </c>
      <c r="C13" s="92" t="s">
        <v>117</v>
      </c>
      <c r="D13" s="92" t="s">
        <v>118</v>
      </c>
      <c r="E13" s="92" t="s">
        <v>119</v>
      </c>
      <c r="F13" s="92" t="s">
        <v>120</v>
      </c>
      <c r="G13" s="92" t="s">
        <v>121</v>
      </c>
      <c r="H13" s="92" t="s">
        <v>122</v>
      </c>
      <c r="I13" s="92" t="s">
        <v>123</v>
      </c>
      <c r="J13" s="92" t="s">
        <v>124</v>
      </c>
      <c r="K13" s="92" t="s">
        <v>125</v>
      </c>
      <c r="L13" s="92" t="s">
        <v>126</v>
      </c>
      <c r="M13" s="92" t="s">
        <v>127</v>
      </c>
      <c r="N13" s="92" t="s">
        <v>128</v>
      </c>
    </row>
    <row r="14" spans="2:50" x14ac:dyDescent="0.25">
      <c r="B14" s="92" t="s">
        <v>129</v>
      </c>
      <c r="C14" s="92" t="s">
        <v>118</v>
      </c>
      <c r="D14" s="92" t="s">
        <v>119</v>
      </c>
      <c r="E14" s="92" t="s">
        <v>120</v>
      </c>
      <c r="F14" s="92" t="s">
        <v>121</v>
      </c>
      <c r="G14" s="92" t="s">
        <v>122</v>
      </c>
      <c r="H14" s="92" t="s">
        <v>123</v>
      </c>
      <c r="I14" s="92" t="s">
        <v>124</v>
      </c>
      <c r="J14" s="92" t="s">
        <v>125</v>
      </c>
      <c r="K14" s="92" t="s">
        <v>126</v>
      </c>
      <c r="L14" s="92" t="s">
        <v>127</v>
      </c>
      <c r="M14" s="92" t="s">
        <v>128</v>
      </c>
      <c r="N14" s="92" t="s">
        <v>129</v>
      </c>
    </row>
    <row r="15" spans="2:50" x14ac:dyDescent="0.25">
      <c r="B15" s="92" t="s">
        <v>130</v>
      </c>
      <c r="C15" s="92" t="s">
        <v>119</v>
      </c>
      <c r="D15" s="92" t="s">
        <v>120</v>
      </c>
      <c r="E15" s="92" t="s">
        <v>121</v>
      </c>
      <c r="F15" s="92" t="s">
        <v>122</v>
      </c>
      <c r="G15" s="92" t="s">
        <v>123</v>
      </c>
      <c r="H15" s="92" t="s">
        <v>124</v>
      </c>
      <c r="I15" s="92" t="s">
        <v>125</v>
      </c>
      <c r="J15" s="92" t="s">
        <v>126</v>
      </c>
      <c r="K15" s="92" t="s">
        <v>127</v>
      </c>
      <c r="L15" s="92" t="s">
        <v>128</v>
      </c>
      <c r="M15" s="92" t="s">
        <v>129</v>
      </c>
      <c r="N15" s="92" t="s">
        <v>130</v>
      </c>
    </row>
    <row r="16" spans="2:50" x14ac:dyDescent="0.25">
      <c r="B16" s="92" t="s">
        <v>131</v>
      </c>
      <c r="C16" s="92" t="s">
        <v>120</v>
      </c>
      <c r="D16" s="92" t="s">
        <v>121</v>
      </c>
      <c r="E16" s="92" t="s">
        <v>122</v>
      </c>
      <c r="F16" s="92" t="s">
        <v>123</v>
      </c>
      <c r="G16" s="92" t="s">
        <v>124</v>
      </c>
      <c r="H16" s="92" t="s">
        <v>125</v>
      </c>
      <c r="I16" s="92" t="s">
        <v>126</v>
      </c>
      <c r="J16" s="92" t="s">
        <v>127</v>
      </c>
      <c r="K16" s="92" t="s">
        <v>128</v>
      </c>
      <c r="L16" s="92" t="s">
        <v>129</v>
      </c>
      <c r="M16" s="92" t="s">
        <v>130</v>
      </c>
      <c r="N16" s="92" t="s">
        <v>131</v>
      </c>
    </row>
    <row r="17" spans="2:14" x14ac:dyDescent="0.25">
      <c r="B17" s="92" t="s">
        <v>132</v>
      </c>
      <c r="C17" s="92" t="s">
        <v>121</v>
      </c>
      <c r="D17" s="92" t="s">
        <v>122</v>
      </c>
      <c r="E17" s="92" t="s">
        <v>123</v>
      </c>
      <c r="F17" s="92" t="s">
        <v>124</v>
      </c>
      <c r="G17" s="92" t="s">
        <v>125</v>
      </c>
      <c r="H17" s="92" t="s">
        <v>126</v>
      </c>
      <c r="I17" s="92" t="s">
        <v>127</v>
      </c>
      <c r="J17" s="92" t="s">
        <v>128</v>
      </c>
      <c r="K17" s="92" t="s">
        <v>129</v>
      </c>
      <c r="L17" s="92" t="s">
        <v>130</v>
      </c>
      <c r="M17" s="92" t="s">
        <v>131</v>
      </c>
      <c r="N17" s="92" t="s">
        <v>132</v>
      </c>
    </row>
    <row r="18" spans="2:14" x14ac:dyDescent="0.25">
      <c r="B18" s="92" t="s">
        <v>133</v>
      </c>
      <c r="C18" s="92" t="s">
        <v>122</v>
      </c>
      <c r="D18" s="92" t="s">
        <v>123</v>
      </c>
      <c r="E18" s="92" t="s">
        <v>124</v>
      </c>
      <c r="F18" s="92" t="s">
        <v>125</v>
      </c>
      <c r="G18" s="92" t="s">
        <v>126</v>
      </c>
      <c r="H18" s="92" t="s">
        <v>127</v>
      </c>
      <c r="I18" s="92" t="s">
        <v>128</v>
      </c>
      <c r="J18" s="92" t="s">
        <v>129</v>
      </c>
      <c r="K18" s="92" t="s">
        <v>130</v>
      </c>
      <c r="L18" s="92" t="s">
        <v>131</v>
      </c>
      <c r="M18" s="92" t="s">
        <v>132</v>
      </c>
      <c r="N18" s="92" t="s">
        <v>133</v>
      </c>
    </row>
    <row r="19" spans="2:14" x14ac:dyDescent="0.25">
      <c r="B19" s="92" t="s">
        <v>134</v>
      </c>
      <c r="C19" s="92" t="s">
        <v>123</v>
      </c>
      <c r="D19" s="92" t="s">
        <v>124</v>
      </c>
      <c r="E19" s="92" t="s">
        <v>125</v>
      </c>
      <c r="F19" s="92" t="s">
        <v>126</v>
      </c>
      <c r="G19" s="92" t="s">
        <v>127</v>
      </c>
      <c r="H19" s="92" t="s">
        <v>128</v>
      </c>
      <c r="I19" s="92" t="s">
        <v>129</v>
      </c>
      <c r="J19" s="92" t="s">
        <v>130</v>
      </c>
      <c r="K19" s="92" t="s">
        <v>131</v>
      </c>
      <c r="L19" s="92" t="s">
        <v>132</v>
      </c>
      <c r="M19" s="92" t="s">
        <v>133</v>
      </c>
      <c r="N19" s="92" t="s">
        <v>134</v>
      </c>
    </row>
    <row r="20" spans="2:14" x14ac:dyDescent="0.25">
      <c r="B20" s="92" t="s">
        <v>135</v>
      </c>
      <c r="C20" s="92" t="s">
        <v>124</v>
      </c>
      <c r="D20" s="92" t="s">
        <v>125</v>
      </c>
      <c r="E20" s="92" t="s">
        <v>126</v>
      </c>
      <c r="F20" s="92" t="s">
        <v>127</v>
      </c>
      <c r="G20" s="92" t="s">
        <v>128</v>
      </c>
      <c r="H20" s="92" t="s">
        <v>129</v>
      </c>
      <c r="I20" s="92" t="s">
        <v>130</v>
      </c>
      <c r="J20" s="92" t="s">
        <v>131</v>
      </c>
      <c r="K20" s="92" t="s">
        <v>132</v>
      </c>
      <c r="L20" s="92" t="s">
        <v>133</v>
      </c>
      <c r="M20" s="92" t="s">
        <v>134</v>
      </c>
      <c r="N20" s="92" t="s">
        <v>135</v>
      </c>
    </row>
    <row r="21" spans="2:14" x14ac:dyDescent="0.25">
      <c r="B21" s="92" t="s">
        <v>136</v>
      </c>
      <c r="C21" s="92" t="s">
        <v>125</v>
      </c>
      <c r="D21" s="92" t="s">
        <v>126</v>
      </c>
      <c r="E21" s="92" t="s">
        <v>127</v>
      </c>
      <c r="F21" s="92" t="s">
        <v>128</v>
      </c>
      <c r="G21" s="92" t="s">
        <v>129</v>
      </c>
      <c r="H21" s="92" t="s">
        <v>130</v>
      </c>
      <c r="I21" s="92" t="s">
        <v>131</v>
      </c>
      <c r="J21" s="92" t="s">
        <v>132</v>
      </c>
      <c r="K21" s="92" t="s">
        <v>133</v>
      </c>
      <c r="L21" s="92" t="s">
        <v>134</v>
      </c>
      <c r="M21" s="92" t="s">
        <v>135</v>
      </c>
      <c r="N21" s="92" t="s">
        <v>136</v>
      </c>
    </row>
    <row r="22" spans="2:14" x14ac:dyDescent="0.25">
      <c r="B22" s="92" t="s">
        <v>137</v>
      </c>
      <c r="C22" s="92" t="s">
        <v>126</v>
      </c>
      <c r="D22" s="92" t="s">
        <v>127</v>
      </c>
      <c r="E22" s="92" t="s">
        <v>128</v>
      </c>
      <c r="F22" s="92" t="s">
        <v>129</v>
      </c>
      <c r="G22" s="92" t="s">
        <v>130</v>
      </c>
      <c r="H22" s="92" t="s">
        <v>131</v>
      </c>
      <c r="I22" s="92" t="s">
        <v>132</v>
      </c>
      <c r="J22" s="92" t="s">
        <v>133</v>
      </c>
      <c r="K22" s="92" t="s">
        <v>134</v>
      </c>
      <c r="L22" s="92" t="s">
        <v>135</v>
      </c>
      <c r="M22" s="92" t="s">
        <v>136</v>
      </c>
      <c r="N22" s="92" t="s">
        <v>137</v>
      </c>
    </row>
    <row r="23" spans="2:14" x14ac:dyDescent="0.25">
      <c r="B23" s="92" t="s">
        <v>138</v>
      </c>
      <c r="C23" s="92" t="s">
        <v>127</v>
      </c>
      <c r="D23" s="92" t="s">
        <v>128</v>
      </c>
      <c r="E23" s="92" t="s">
        <v>129</v>
      </c>
      <c r="F23" s="92" t="s">
        <v>130</v>
      </c>
      <c r="G23" s="92" t="s">
        <v>131</v>
      </c>
      <c r="H23" s="92" t="s">
        <v>132</v>
      </c>
      <c r="I23" s="92" t="s">
        <v>133</v>
      </c>
      <c r="J23" s="92" t="s">
        <v>134</v>
      </c>
      <c r="K23" s="92" t="s">
        <v>135</v>
      </c>
      <c r="L23" s="92" t="s">
        <v>136</v>
      </c>
      <c r="M23" s="92" t="s">
        <v>137</v>
      </c>
      <c r="N23" s="92" t="s">
        <v>138</v>
      </c>
    </row>
    <row r="24" spans="2:14" x14ac:dyDescent="0.25">
      <c r="B24" s="92" t="s">
        <v>139</v>
      </c>
      <c r="C24" s="92" t="s">
        <v>128</v>
      </c>
      <c r="D24" s="92" t="s">
        <v>129</v>
      </c>
      <c r="E24" s="92" t="s">
        <v>130</v>
      </c>
      <c r="F24" s="92" t="s">
        <v>131</v>
      </c>
      <c r="G24" s="92" t="s">
        <v>132</v>
      </c>
      <c r="H24" s="92" t="s">
        <v>133</v>
      </c>
      <c r="I24" s="92" t="s">
        <v>134</v>
      </c>
      <c r="J24" s="92" t="s">
        <v>135</v>
      </c>
      <c r="K24" s="92" t="s">
        <v>136</v>
      </c>
      <c r="L24" s="92" t="s">
        <v>137</v>
      </c>
      <c r="M24" s="92" t="s">
        <v>138</v>
      </c>
      <c r="N24" s="92" t="s">
        <v>139</v>
      </c>
    </row>
    <row r="25" spans="2:14" x14ac:dyDescent="0.25">
      <c r="B25" s="92" t="s">
        <v>140</v>
      </c>
      <c r="C25" s="92" t="s">
        <v>129</v>
      </c>
      <c r="D25" s="92" t="s">
        <v>130</v>
      </c>
      <c r="E25" s="92" t="s">
        <v>131</v>
      </c>
      <c r="F25" s="92" t="s">
        <v>132</v>
      </c>
      <c r="G25" s="92" t="s">
        <v>133</v>
      </c>
      <c r="H25" s="92" t="s">
        <v>134</v>
      </c>
      <c r="I25" s="92" t="s">
        <v>135</v>
      </c>
      <c r="J25" s="92" t="s">
        <v>136</v>
      </c>
      <c r="K25" s="92" t="s">
        <v>137</v>
      </c>
      <c r="L25" s="92" t="s">
        <v>138</v>
      </c>
      <c r="M25" s="92" t="s">
        <v>139</v>
      </c>
      <c r="N25" s="92" t="s">
        <v>140</v>
      </c>
    </row>
    <row r="26" spans="2:14" x14ac:dyDescent="0.25">
      <c r="B26" s="92" t="s">
        <v>141</v>
      </c>
      <c r="C26" s="92" t="s">
        <v>130</v>
      </c>
      <c r="D26" s="92" t="s">
        <v>131</v>
      </c>
      <c r="E26" s="92" t="s">
        <v>132</v>
      </c>
      <c r="F26" s="92" t="s">
        <v>133</v>
      </c>
      <c r="G26" s="92" t="s">
        <v>134</v>
      </c>
      <c r="H26" s="92" t="s">
        <v>135</v>
      </c>
      <c r="I26" s="92" t="s">
        <v>136</v>
      </c>
      <c r="J26" s="92" t="s">
        <v>137</v>
      </c>
      <c r="K26" s="92" t="s">
        <v>138</v>
      </c>
      <c r="L26" s="92" t="s">
        <v>139</v>
      </c>
      <c r="M26" s="92" t="s">
        <v>140</v>
      </c>
      <c r="N26" s="92" t="s">
        <v>141</v>
      </c>
    </row>
    <row r="27" spans="2:14" x14ac:dyDescent="0.25">
      <c r="B27" s="92" t="s">
        <v>142</v>
      </c>
      <c r="C27" s="92" t="s">
        <v>131</v>
      </c>
      <c r="D27" s="92" t="s">
        <v>132</v>
      </c>
      <c r="E27" s="92" t="s">
        <v>133</v>
      </c>
      <c r="F27" s="92" t="s">
        <v>134</v>
      </c>
      <c r="G27" s="92" t="s">
        <v>135</v>
      </c>
      <c r="H27" s="92" t="s">
        <v>136</v>
      </c>
      <c r="I27" s="92" t="s">
        <v>137</v>
      </c>
      <c r="J27" s="92" t="s">
        <v>138</v>
      </c>
      <c r="K27" s="92" t="s">
        <v>139</v>
      </c>
      <c r="L27" s="92" t="s">
        <v>140</v>
      </c>
      <c r="M27" s="92" t="s">
        <v>141</v>
      </c>
      <c r="N27" s="92" t="s">
        <v>142</v>
      </c>
    </row>
    <row r="28" spans="2:14" x14ac:dyDescent="0.25">
      <c r="B28" s="92" t="s">
        <v>143</v>
      </c>
      <c r="C28" s="92" t="s">
        <v>132</v>
      </c>
      <c r="D28" s="92" t="s">
        <v>133</v>
      </c>
      <c r="E28" s="92" t="s">
        <v>134</v>
      </c>
      <c r="F28" s="92" t="s">
        <v>135</v>
      </c>
      <c r="G28" s="92" t="s">
        <v>136</v>
      </c>
      <c r="H28" s="92" t="s">
        <v>137</v>
      </c>
      <c r="I28" s="92" t="s">
        <v>138</v>
      </c>
      <c r="J28" s="92" t="s">
        <v>139</v>
      </c>
      <c r="K28" s="92" t="s">
        <v>140</v>
      </c>
      <c r="L28" s="92" t="s">
        <v>141</v>
      </c>
      <c r="M28" s="92" t="s">
        <v>142</v>
      </c>
      <c r="N28" s="92" t="s">
        <v>143</v>
      </c>
    </row>
    <row r="29" spans="2:14" x14ac:dyDescent="0.25">
      <c r="B29" s="92" t="s">
        <v>144</v>
      </c>
      <c r="C29" s="92" t="s">
        <v>133</v>
      </c>
      <c r="D29" s="92" t="s">
        <v>134</v>
      </c>
      <c r="E29" s="92" t="s">
        <v>135</v>
      </c>
      <c r="F29" s="92" t="s">
        <v>136</v>
      </c>
      <c r="G29" s="92" t="s">
        <v>137</v>
      </c>
      <c r="H29" s="92" t="s">
        <v>138</v>
      </c>
      <c r="I29" s="92" t="s">
        <v>139</v>
      </c>
      <c r="J29" s="92" t="s">
        <v>140</v>
      </c>
      <c r="K29" s="92" t="s">
        <v>141</v>
      </c>
      <c r="L29" s="92" t="s">
        <v>142</v>
      </c>
      <c r="M29" s="92" t="s">
        <v>143</v>
      </c>
      <c r="N29" s="92" t="s">
        <v>144</v>
      </c>
    </row>
    <row r="30" spans="2:14" x14ac:dyDescent="0.25">
      <c r="B30" s="92" t="s">
        <v>145</v>
      </c>
      <c r="C30" s="92" t="s">
        <v>134</v>
      </c>
      <c r="D30" s="92" t="s">
        <v>135</v>
      </c>
      <c r="E30" s="92" t="s">
        <v>136</v>
      </c>
      <c r="F30" s="92" t="s">
        <v>137</v>
      </c>
      <c r="G30" s="92" t="s">
        <v>138</v>
      </c>
      <c r="H30" s="92" t="s">
        <v>139</v>
      </c>
      <c r="I30" s="92" t="s">
        <v>140</v>
      </c>
      <c r="J30" s="92" t="s">
        <v>141</v>
      </c>
      <c r="K30" s="92" t="s">
        <v>142</v>
      </c>
      <c r="L30" s="92" t="s">
        <v>143</v>
      </c>
      <c r="M30" s="92" t="s">
        <v>144</v>
      </c>
      <c r="N30" s="92" t="s">
        <v>145</v>
      </c>
    </row>
    <row r="31" spans="2:14" x14ac:dyDescent="0.25">
      <c r="B31" s="92" t="s">
        <v>146</v>
      </c>
      <c r="C31" s="92" t="s">
        <v>135</v>
      </c>
      <c r="D31" s="92" t="s">
        <v>136</v>
      </c>
      <c r="E31" s="92" t="s">
        <v>137</v>
      </c>
      <c r="F31" s="92" t="s">
        <v>138</v>
      </c>
      <c r="G31" s="92" t="s">
        <v>139</v>
      </c>
      <c r="H31" s="92" t="s">
        <v>140</v>
      </c>
      <c r="I31" s="92" t="s">
        <v>141</v>
      </c>
      <c r="J31" s="92" t="s">
        <v>142</v>
      </c>
      <c r="K31" s="92" t="s">
        <v>143</v>
      </c>
      <c r="L31" s="92" t="s">
        <v>144</v>
      </c>
      <c r="M31" s="92" t="s">
        <v>145</v>
      </c>
      <c r="N31" s="92" t="s">
        <v>146</v>
      </c>
    </row>
    <row r="32" spans="2:14" x14ac:dyDescent="0.25">
      <c r="B32" s="92" t="s">
        <v>147</v>
      </c>
      <c r="C32" s="92" t="s">
        <v>136</v>
      </c>
      <c r="D32" s="92" t="s">
        <v>137</v>
      </c>
      <c r="E32" s="92" t="s">
        <v>138</v>
      </c>
      <c r="F32" s="92" t="s">
        <v>139</v>
      </c>
      <c r="G32" s="92" t="s">
        <v>140</v>
      </c>
      <c r="H32" s="92" t="s">
        <v>141</v>
      </c>
      <c r="I32" s="92" t="s">
        <v>142</v>
      </c>
      <c r="J32" s="92" t="s">
        <v>143</v>
      </c>
      <c r="K32" s="92" t="s">
        <v>144</v>
      </c>
      <c r="L32" s="92" t="s">
        <v>145</v>
      </c>
      <c r="M32" s="92" t="s">
        <v>146</v>
      </c>
      <c r="N32" s="92" t="s">
        <v>147</v>
      </c>
    </row>
    <row r="33" spans="2:14" x14ac:dyDescent="0.25">
      <c r="B33" s="92" t="s">
        <v>148</v>
      </c>
      <c r="C33" s="92" t="s">
        <v>137</v>
      </c>
      <c r="D33" s="92" t="s">
        <v>138</v>
      </c>
      <c r="E33" s="92" t="s">
        <v>139</v>
      </c>
      <c r="F33" s="92" t="s">
        <v>140</v>
      </c>
      <c r="G33" s="92" t="s">
        <v>141</v>
      </c>
      <c r="H33" s="92" t="s">
        <v>142</v>
      </c>
      <c r="I33" s="92" t="s">
        <v>143</v>
      </c>
      <c r="J33" s="92" t="s">
        <v>144</v>
      </c>
      <c r="K33" s="92" t="s">
        <v>145</v>
      </c>
      <c r="L33" s="92" t="s">
        <v>146</v>
      </c>
      <c r="M33" s="92" t="s">
        <v>147</v>
      </c>
      <c r="N33" s="92" t="s">
        <v>148</v>
      </c>
    </row>
    <row r="34" spans="2:14" x14ac:dyDescent="0.25">
      <c r="B34" s="92" t="s">
        <v>149</v>
      </c>
      <c r="C34" s="92" t="s">
        <v>138</v>
      </c>
      <c r="D34" s="92" t="s">
        <v>139</v>
      </c>
      <c r="E34" s="92" t="s">
        <v>140</v>
      </c>
      <c r="F34" s="92" t="s">
        <v>141</v>
      </c>
      <c r="G34" s="92" t="s">
        <v>142</v>
      </c>
      <c r="H34" s="92" t="s">
        <v>143</v>
      </c>
      <c r="I34" s="92" t="s">
        <v>144</v>
      </c>
      <c r="J34" s="92" t="s">
        <v>145</v>
      </c>
      <c r="K34" s="92" t="s">
        <v>146</v>
      </c>
      <c r="L34" s="92" t="s">
        <v>147</v>
      </c>
      <c r="M34" s="92" t="s">
        <v>148</v>
      </c>
      <c r="N34" s="92" t="s">
        <v>149</v>
      </c>
    </row>
    <row r="35" spans="2:14" x14ac:dyDescent="0.25">
      <c r="B35" s="92" t="s">
        <v>150</v>
      </c>
      <c r="C35" s="92" t="s">
        <v>139</v>
      </c>
      <c r="D35" s="92" t="s">
        <v>140</v>
      </c>
      <c r="E35" s="92" t="s">
        <v>141</v>
      </c>
      <c r="F35" s="92" t="s">
        <v>142</v>
      </c>
      <c r="G35" s="92" t="s">
        <v>143</v>
      </c>
      <c r="H35" s="92" t="s">
        <v>144</v>
      </c>
      <c r="I35" s="92" t="s">
        <v>145</v>
      </c>
      <c r="J35" s="92" t="s">
        <v>146</v>
      </c>
      <c r="K35" s="92" t="s">
        <v>147</v>
      </c>
      <c r="L35" s="92" t="s">
        <v>148</v>
      </c>
      <c r="M35" s="92" t="s">
        <v>149</v>
      </c>
      <c r="N35" s="92" t="s">
        <v>150</v>
      </c>
    </row>
    <row r="36" spans="2:14" x14ac:dyDescent="0.25">
      <c r="B36" s="92" t="s">
        <v>151</v>
      </c>
      <c r="C36" s="92" t="s">
        <v>140</v>
      </c>
      <c r="D36" s="92" t="s">
        <v>141</v>
      </c>
      <c r="E36" s="92" t="s">
        <v>142</v>
      </c>
      <c r="F36" s="92" t="s">
        <v>143</v>
      </c>
      <c r="G36" s="92" t="s">
        <v>144</v>
      </c>
      <c r="H36" s="92" t="s">
        <v>145</v>
      </c>
      <c r="I36" s="92" t="s">
        <v>146</v>
      </c>
      <c r="J36" s="92" t="s">
        <v>147</v>
      </c>
      <c r="K36" s="92" t="s">
        <v>148</v>
      </c>
      <c r="L36" s="92" t="s">
        <v>149</v>
      </c>
      <c r="M36" s="92" t="s">
        <v>150</v>
      </c>
      <c r="N36" s="92" t="s">
        <v>151</v>
      </c>
    </row>
    <row r="37" spans="2:14" x14ac:dyDescent="0.25">
      <c r="B37" s="92" t="s">
        <v>152</v>
      </c>
      <c r="C37" s="92" t="s">
        <v>141</v>
      </c>
      <c r="D37" s="92" t="s">
        <v>142</v>
      </c>
      <c r="E37" s="92" t="s">
        <v>143</v>
      </c>
      <c r="F37" s="92" t="s">
        <v>144</v>
      </c>
      <c r="G37" s="92" t="s">
        <v>145</v>
      </c>
      <c r="H37" s="92" t="s">
        <v>146</v>
      </c>
      <c r="I37" s="92" t="s">
        <v>147</v>
      </c>
      <c r="J37" s="92" t="s">
        <v>148</v>
      </c>
      <c r="K37" s="92" t="s">
        <v>149</v>
      </c>
      <c r="L37" s="92" t="s">
        <v>150</v>
      </c>
      <c r="M37" s="92" t="s">
        <v>151</v>
      </c>
      <c r="N37" s="92" t="s">
        <v>152</v>
      </c>
    </row>
  </sheetData>
  <sheetProtection algorithmName="SHA-512" hashValue="w0TKoBljn1Trr5UaOJeqFj67InUbFIEzOiuwqCEW0nqVN8voSj834Yad3eZ0C4KshXRCxpxnjgXNCYRpxr4IpQ==" saltValue="yEe6HZQYG2nbn2VCW87Q5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1-Overview</vt:lpstr>
      <vt:lpstr>2-Data Input &amp; Assumptions</vt:lpstr>
      <vt:lpstr>3-Cash Flow Chart</vt:lpstr>
      <vt:lpstr>4-Forecast Indicators</vt:lpstr>
      <vt:lpstr>5-FY Table</vt:lpstr>
      <vt:lpstr>'1-Overview'!Print_Area</vt:lpstr>
      <vt:lpstr>'2-Data Input &amp; Assumptions'!Print_Titles</vt:lpstr>
    </vt:vector>
  </TitlesOfParts>
  <Company>Copyright 2004-2018, Government Finance Research Group LLC www.municast.com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Simplified Monthly Cash Flow Model</dc:title>
  <dc:subject>Simplified Monthly Cash Flow Model</dc:subject>
  <dc:creator>Chris Swanson</dc:creator>
  <cp:lastModifiedBy>Sofia Anastopoulos</cp:lastModifiedBy>
  <cp:lastPrinted>2019-06-16T13:49:18Z</cp:lastPrinted>
  <dcterms:created xsi:type="dcterms:W3CDTF">2016-07-13T17:11:33Z</dcterms:created>
  <dcterms:modified xsi:type="dcterms:W3CDTF">2019-06-17T16:36:42Z</dcterms:modified>
</cp:coreProperties>
</file>